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x5h5r5sh+CsECXVxIDEbxwnoW61Pn+/uX/3Sb1Ul8DsrC0dZs9kXx0wWDReITFh8h716HtdgAcskX9dkJylRKg==" workbookSaltValue="ftQuqSeKuc23cZPhxaKx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ES19" i="8"/>
  <c r="BH19" i="13"/>
  <c r="R19" i="8"/>
  <c r="EP19" i="8"/>
  <c r="EP19" i="19"/>
  <c r="AT17" i="20"/>
  <c r="AL9" i="11"/>
  <c r="F9" i="2"/>
  <c r="N13" i="2"/>
  <c r="T13" i="12"/>
  <c r="T13" i="16"/>
  <c r="T13" i="20"/>
  <c r="AY18" i="8"/>
  <c r="BB13" i="13"/>
  <c r="BF9" i="8"/>
  <c r="J18" i="17"/>
  <c r="BG15" i="13"/>
  <c r="BE15" i="13"/>
  <c r="AH20" i="20"/>
  <c r="AL20" i="20"/>
  <c r="AB20" i="20"/>
  <c r="AN20" i="20"/>
  <c r="Y20" i="20"/>
  <c r="AO20" i="20"/>
  <c r="U10" i="11"/>
  <c r="BF17" i="8" l="1"/>
  <c r="BD16" i="8"/>
  <c r="H16" i="7" s="1"/>
  <c r="T19" i="8"/>
  <c r="AC10" i="11"/>
  <c r="H13" i="12"/>
  <c r="B10" i="6"/>
  <c r="E12" i="6"/>
  <c r="M13" i="2"/>
  <c r="K18" i="2"/>
  <c r="AO12" i="11"/>
  <c r="K15" i="7"/>
  <c r="C10" i="6"/>
  <c r="AO17" i="11"/>
  <c r="L16" i="14"/>
  <c r="L17" i="14"/>
  <c r="C17" i="6"/>
  <c r="BD12" i="8"/>
  <c r="H12" i="7" s="1"/>
  <c r="AL12" i="11"/>
  <c r="R8" i="9"/>
  <c r="BF15" i="13"/>
  <c r="BG16" i="13"/>
  <c r="BE16" i="13"/>
  <c r="F15" i="17"/>
  <c r="AQ15" i="17" s="1"/>
  <c r="H12" i="2"/>
  <c r="AY13" i="8"/>
  <c r="L9" i="14"/>
  <c r="L12" i="14"/>
  <c r="AY13" i="13"/>
  <c r="BA13" i="13"/>
  <c r="BE13" i="13" s="1"/>
  <c r="BH16" i="11"/>
  <c r="Q17" i="17"/>
  <c r="BW11" i="20"/>
  <c r="BH11" i="16"/>
  <c r="V15" i="11"/>
  <c r="Q17" i="20"/>
  <c r="Q18" i="20" s="1"/>
  <c r="S17" i="16"/>
  <c r="AP10" i="21"/>
  <c r="BJ15" i="11"/>
  <c r="R17" i="20"/>
  <c r="R18" i="20" s="1"/>
  <c r="BU15" i="17"/>
  <c r="BW16" i="20"/>
  <c r="BV10" i="16"/>
  <c r="AZ16" i="11"/>
  <c r="BF12" i="11"/>
  <c r="Q15" i="17"/>
  <c r="BH12" i="16"/>
  <c r="V10" i="16"/>
  <c r="BG10" i="11"/>
  <c r="BK12" i="11"/>
  <c r="V11" i="11"/>
  <c r="BJ11" i="11"/>
  <c r="BL11" i="11"/>
  <c r="T15" i="16"/>
  <c r="BV12" i="16"/>
  <c r="R12" i="14"/>
  <c r="T15" i="11"/>
  <c r="X15" i="17"/>
  <c r="X17" i="20"/>
  <c r="X16" i="20"/>
  <c r="X9" i="16"/>
  <c r="X19" i="16" s="1"/>
  <c r="S16" i="14"/>
  <c r="V16" i="14" s="1"/>
  <c r="T11" i="11"/>
  <c r="X12" i="17"/>
  <c r="AA11" i="16"/>
  <c r="S11" i="17"/>
  <c r="AZ17" i="11"/>
  <c r="X12" i="16"/>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D17" i="2"/>
  <c r="L19" i="8"/>
  <c r="J12" i="2"/>
  <c r="E18" i="12"/>
  <c r="B18" i="2"/>
  <c r="G17" i="3"/>
  <c r="I10" i="3"/>
  <c r="D13" i="5"/>
  <c r="BF11" i="8"/>
  <c r="BE12" i="8"/>
  <c r="I12" i="7" s="1"/>
  <c r="BE15" i="8"/>
  <c r="AO15" i="17"/>
  <c r="C16" i="6"/>
  <c r="U19" i="8"/>
  <c r="Y19" i="8"/>
  <c r="AI19" i="8"/>
  <c r="BK19" i="8"/>
  <c r="B11" i="6"/>
  <c r="C12" i="14"/>
  <c r="K12" i="14" s="1"/>
  <c r="K18" i="11"/>
  <c r="E9" i="6"/>
  <c r="K9" i="12" s="1"/>
  <c r="I9" i="7"/>
  <c r="H9" i="7"/>
  <c r="K9" i="7"/>
  <c r="AO10"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D19" i="19"/>
  <c r="BF18" i="19"/>
  <c r="AQ13" i="21"/>
  <c r="AQ19" i="19"/>
  <c r="AR13" i="20"/>
  <c r="F16" i="17"/>
  <c r="Z13" i="17"/>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BW12" i="20"/>
  <c r="BV11" i="16"/>
  <c r="V12" i="16"/>
  <c r="BG12" i="11"/>
  <c r="Q12" i="11" s="1"/>
  <c r="AQ10" i="21"/>
  <c r="BG16" i="11"/>
  <c r="BL16" i="11"/>
  <c r="U9" i="17"/>
  <c r="U19" i="17" s="1"/>
  <c r="U10" i="17"/>
  <c r="BH10" i="11"/>
  <c r="BK16" i="11"/>
  <c r="AQ12" i="21"/>
  <c r="L9" i="2"/>
  <c r="BJ16" i="11"/>
  <c r="BJ18" i="11" s="1"/>
  <c r="BH11" i="11"/>
  <c r="BI9" i="11"/>
  <c r="AZ12" i="11"/>
  <c r="BW10" i="20"/>
  <c r="BW21" i="20" s="1"/>
  <c r="X12" i="21"/>
  <c r="BF11" i="11"/>
  <c r="T17" i="11"/>
  <c r="BH9" i="16"/>
  <c r="BJ17" i="11"/>
  <c r="BH15" i="16"/>
  <c r="V11" i="16"/>
  <c r="BF16" i="11"/>
  <c r="Q16" i="11" s="1"/>
  <c r="BL12" i="11"/>
  <c r="BK11" i="11"/>
  <c r="BM12" i="11"/>
  <c r="BI15" i="11"/>
  <c r="BJ12" i="11"/>
  <c r="BG15" i="11"/>
  <c r="BK17" i="11"/>
  <c r="AP17" i="20"/>
  <c r="BW9" i="20"/>
  <c r="BV16" i="16"/>
  <c r="BV15" i="16"/>
  <c r="BU9" i="17"/>
  <c r="BU21" i="17" s="1"/>
  <c r="BU17" i="17"/>
  <c r="BV9" i="16"/>
  <c r="T16" i="11"/>
  <c r="P15" i="17"/>
  <c r="P18" i="17" s="1"/>
  <c r="P19" i="17" s="1"/>
  <c r="BL15" i="11"/>
  <c r="BH10" i="16"/>
  <c r="BM17" i="11"/>
  <c r="BM9" i="11"/>
  <c r="BK10" i="11"/>
  <c r="L17" i="2"/>
  <c r="V9" i="16"/>
  <c r="BH17" i="16"/>
  <c r="BM16" i="11"/>
  <c r="BL17" i="11"/>
  <c r="P17" i="11" s="1"/>
  <c r="BF10" i="11"/>
  <c r="BK15" i="11"/>
  <c r="BI10" i="11"/>
  <c r="V9" i="11"/>
  <c r="R10" i="21"/>
  <c r="BG9" i="11"/>
  <c r="BH17" i="11"/>
  <c r="T17" i="16"/>
  <c r="BU11" i="17"/>
  <c r="BU10" i="17"/>
  <c r="S10" i="14"/>
  <c r="V10" i="14" s="1"/>
  <c r="R10" i="14"/>
  <c r="R16" i="14"/>
  <c r="S15" i="14"/>
  <c r="V15" i="14" s="1"/>
  <c r="X16" i="17"/>
  <c r="AA15" i="16"/>
  <c r="X9" i="17"/>
  <c r="T17" i="20"/>
  <c r="U10" i="21"/>
  <c r="AA12" i="21"/>
  <c r="S10" i="17"/>
  <c r="L11" i="2"/>
  <c r="V15" i="20"/>
  <c r="V18" i="20" s="1"/>
  <c r="S12" i="14"/>
  <c r="V12" i="14" s="1"/>
  <c r="R11" i="14"/>
  <c r="T12" i="11"/>
  <c r="S11" i="14"/>
  <c r="V11" i="14" s="1"/>
  <c r="AA10" i="16"/>
  <c r="AA17" i="16"/>
  <c r="AA9" i="16"/>
  <c r="X13" i="20"/>
  <c r="S9" i="17"/>
  <c r="S17" i="17"/>
  <c r="AZ15" i="11"/>
  <c r="AZ18" i="11" s="1"/>
  <c r="L10" i="2"/>
  <c r="X10" i="21"/>
  <c r="X19" i="21" s="1"/>
  <c r="S16" i="17"/>
  <c r="AM15" i="11"/>
  <c r="AO16" i="17"/>
  <c r="AO17" i="17"/>
  <c r="AM9" i="11"/>
  <c r="AP13" i="20"/>
  <c r="AM11" i="11"/>
  <c r="BD13" i="13"/>
  <c r="AO9" i="17"/>
  <c r="AO12" i="17"/>
  <c r="AM16" i="11"/>
  <c r="AM12" i="11"/>
  <c r="L12" i="2"/>
  <c r="AZ11" i="11"/>
  <c r="V15" i="16"/>
  <c r="X17" i="17"/>
  <c r="AA16" i="16"/>
  <c r="R17" i="14"/>
  <c r="R18" i="14" s="1"/>
  <c r="X15" i="16"/>
  <c r="X18" i="16" s="1"/>
  <c r="S15" i="17"/>
  <c r="V12" i="21"/>
  <c r="X11" i="17"/>
  <c r="X10" i="17"/>
  <c r="S9" i="14"/>
  <c r="V9" i="14" s="1"/>
  <c r="S17" i="14"/>
  <c r="V17" i="14" s="1"/>
  <c r="BV17" i="16"/>
  <c r="BM15" i="11"/>
  <c r="BI17" i="11"/>
  <c r="Q10" i="21"/>
  <c r="BK9" i="11"/>
  <c r="BK13" i="11" s="1"/>
  <c r="P17" i="17"/>
  <c r="BL9" i="11"/>
  <c r="L15" i="2"/>
  <c r="BF15" i="11"/>
  <c r="BF18" i="11" s="1"/>
  <c r="BL10" i="11"/>
  <c r="S15" i="16"/>
  <c r="S18" i="16" s="1"/>
  <c r="BU16" i="17"/>
  <c r="BW15" i="20"/>
  <c r="BW17" i="20"/>
  <c r="AZ9" i="11"/>
  <c r="AP15" i="20"/>
  <c r="BH9" i="11"/>
  <c r="V17" i="16"/>
  <c r="BF17" i="11"/>
  <c r="BH15" i="11"/>
  <c r="AP16" i="20"/>
  <c r="T9" i="11"/>
  <c r="BU12" i="17"/>
  <c r="BJ10" i="11"/>
  <c r="L16" i="2"/>
  <c r="V10" i="21"/>
  <c r="X13" i="17"/>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P15"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P9" i="11"/>
  <c r="Q10" i="11"/>
  <c r="AQ19" i="20"/>
  <c r="D11" i="6"/>
  <c r="J11" i="12" s="1"/>
  <c r="E11" i="3"/>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U17" i="11"/>
  <c r="AX20" i="20"/>
  <c r="O17" i="11"/>
  <c r="L20" i="20"/>
  <c r="O10" i="11"/>
  <c r="H20" i="17"/>
  <c r="F13" i="21" l="1"/>
  <c r="F19" i="21" s="1"/>
  <c r="B19" i="7"/>
  <c r="AO18" i="17"/>
  <c r="AZ19" i="11"/>
  <c r="AZ13" i="11"/>
  <c r="S13" i="14"/>
  <c r="BI18" i="11"/>
  <c r="U13" i="17"/>
  <c r="BL18" i="11"/>
  <c r="S19" i="16"/>
  <c r="R13" i="21"/>
  <c r="R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<sst xmlns="http://schemas.openxmlformats.org/spreadsheetml/2006/main" count="2102" uniqueCount="917">
  <si>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</si>
  <si>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</si>
  <si>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</si>
  <si>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</si>
  <si>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</si>
  <si>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</si>
  <si>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</si>
  <si>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</si>
  <si>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</si>
  <si>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</si>
  <si>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</si>
  <si>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</si>
  <si>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</si>
  <si>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</si>
  <si>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</si>
  <si>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</si>
  <si>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</si>
  <si>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</si>
  <si>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</si>
  <si>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</si>
  <si>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</si>
  <si>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</si>
  <si>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</si>
  <si>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</si>
  <si>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</si>
  <si>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</si>
  <si>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</si>
  <si>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</si>
  <si>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</si>
  <si>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</si>
  <si>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</si>
  <si>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</si>
  <si>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</si>
  <si>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</si>
  <si>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</si>
  <si>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</si>
  <si>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</si>
  <si>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</si>
  <si>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</si>
  <si>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</si>
  <si>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</si>
  <si>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</si>
  <si>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</si>
  <si>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</si>
  <si>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</si>
  <si>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</si>
  <si>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</si>
  <si>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</si>
  <si>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</si>
  <si>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</si>
  <si>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</si>
  <si>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</si>
  <si>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</si>
  <si>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</si>
  <si>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</si>
  <si>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</si>
  <si>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</si>
  <si>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</si>
  <si>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</si>
  <si>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</si>
  <si>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</si>
  <si>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</si>
  <si>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</si>
  <si>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</si>
  <si>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</si>
  <si>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</si>
  <si>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</si>
  <si>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</si>
  <si>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</si>
  <si>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</si>
  <si>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</si>
  <si>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</si>
  <si>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</si>
  <si>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</si>
  <si>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</si>
  <si>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</si>
  <si>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</si>
  <si>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</si>
  <si>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</si>
  <si>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</si>
  <si>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</si>
  <si>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</si>
  <si>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</si>
  <si>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</si>
  <si>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</si>
  <si>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</si>
  <si>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</si>
  <si>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</si>
  <si>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</si>
  <si>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</si>
  <si>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</si>
  <si>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</si>
  <si>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</si>
  <si>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</si>
  <si>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</si>
  <si>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</si>
  <si>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</si>
  <si>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</si>
  <si>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</si>
  <si>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</si>
  <si>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</si>
  <si>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</si>
  <si>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</si>
  <si>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</si>
  <si>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</si>
  <si>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</si>
  <si>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</si>
  <si>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</si>
  <si>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</si>
  <si>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</si>
  <si>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</si>
  <si>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</si>
  <si>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</si>
  <si>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</si>
  <si>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</si>
  <si>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</si>
  <si>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</si>
  <si>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</si>
  <si>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</si>
  <si>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</si>
  <si>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</si>
  <si>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</si>
  <si>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</si>
  <si>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</si>
  <si>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</si>
  <si>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</si>
  <si>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</si>
  <si>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</si>
  <si>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</si>
  <si>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</si>
  <si>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</si>
  <si>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</si>
  <si>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</si>
  <si>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</si>
  <si>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</si>
  <si>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</si>
  <si>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</si>
  <si>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</si>
  <si>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</si>
  <si>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</si>
  <si>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</si>
  <si>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</si>
  <si>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</si>
  <si>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</si>
  <si>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</si>
  <si>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</si>
  <si>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</si>
  <si>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</si>
  <si>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</si>
  <si>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</si>
  <si>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</si>
  <si>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</si>
  <si>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</si>
  <si>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</si>
  <si>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</si>
  <si>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</si>
  <si>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</si>
  <si>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</si>
  <si>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</si>
  <si>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</si>
  <si>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</si>
  <si>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</si>
  <si>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</si>
  <si>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</si>
  <si>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</si>
  <si>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</si>
  <si>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</si>
  <si>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</si>
  <si>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</si>
  <si>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</si>
  <si>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</si>
  <si>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</si>
  <si>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</si>
  <si>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</si>
  <si>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</si>
  <si>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</si>
  <si>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</si>
  <si>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</si>
  <si>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</si>
  <si>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</si>
  <si>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</si>
  <si>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</si>
  <si>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</si>
  <si>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</si>
  <si>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</si>
  <si>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</si>
  <si>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</si>
  <si>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</si>
  <si>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</si>
  <si>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</si>
  <si>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</si>
  <si>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</si>
  <si>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</si>
  <si>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</si>
  <si>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</si>
  <si>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</si>
  <si>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</si>
  <si>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</si>
  <si>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</si>
  <si>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</si>
  <si>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</si>
  <si>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</si>
  <si>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</si>
  <si>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</si>
  <si>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</si>
  <si>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</si>
  <si>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</si>
  <si>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</si>
  <si>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</si>
  <si>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</si>
  <si>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</si>
  <si>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</si>
  <si>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</si>
  <si>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</si>
  <si>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</si>
  <si>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</si>
  <si>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</si>
  <si>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</si>
  <si>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</si>
  <si>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</si>
  <si>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</si>
  <si>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</si>
  <si>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</si>
  <si>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</si>
  <si>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</si>
  <si>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</si>
  <si>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</si>
  <si>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</si>
  <si>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</si>
  <si>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</si>
  <si>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</si>
  <si>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</si>
  <si>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</si>
  <si>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</si>
  <si>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</si>
  <si>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</si>
  <si>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</si>
  <si>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</si>
  <si>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</si>
  <si>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</si>
  <si>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</si>
  <si>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</si>
  <si>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</si>
  <si>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</si>
  <si>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</si>
  <si>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</si>
  <si>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</si>
  <si>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</si>
  <si>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</si>
  <si>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</si>
  <si>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</si>
  <si>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</si>
  <si>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</si>
  <si>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</si>
  <si>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</si>
  <si>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</si>
  <si>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</si>
  <si>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</si>
  <si>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</si>
  <si>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</si>
  <si>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</si>
  <si>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</si>
  <si>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</si>
  <si>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</si>
  <si>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</si>
  <si>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</si>
  <si>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</si>
  <si>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</si>
  <si>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</si>
  <si>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</si>
  <si>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</si>
  <si>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</si>
  <si>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</si>
  <si>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</si>
  <si>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</si>
  <si>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</si>
  <si>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</si>
  <si>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</si>
  <si>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</si>
  <si>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</si>
  <si>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</si>
  <si>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</si>
  <si>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</si>
  <si>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</si>
  <si>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</si>
  <si>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</si>
  <si>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</si>
  <si>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</si>
  <si>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</si>
  <si>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</si>
  <si>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</si>
  <si>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</si>
  <si>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</si>
  <si>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</si>
  <si>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</si>
  <si>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</si>
  <si>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</si>
  <si>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</si>
  <si>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</si>
  <si>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</si>
  <si>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</si>
  <si>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</si>
  <si>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</si>
  <si>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</si>
  <si>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</si>
  <si>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</si>
  <si>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</si>
  <si>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</si>
  <si>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</si>
  <si>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</si>
  <si>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</si>
  <si>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</si>
  <si>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</si>
  <si>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</si>
  <si>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</si>
  <si>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</si>
  <si>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</si>
  <si>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</si>
  <si>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</si>
  <si>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</si>
  <si>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</si>
  <si>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</si>
  <si>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</si>
  <si>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</si>
  <si>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</si>
  <si>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</si>
  <si>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</si>
  <si>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</si>
  <si>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</si>
  <si>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</si>
  <si>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</si>
  <si>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</si>
  <si>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</si>
  <si>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</si>
  <si>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</si>
  <si>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</si>
  <si>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</si>
  <si>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</si>
  <si>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</si>
  <si>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</si>
  <si>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</si>
  <si>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</si>
  <si>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</si>
  <si>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</si>
  <si>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</si>
  <si>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</si>
  <si>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</si>
  <si>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</si>
  <si>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</si>
  <si>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</si>
  <si>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</si>
  <si>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</si>
  <si>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</si>
  <si>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</si>
  <si>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</si>
  <si>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</si>
  <si>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</si>
  <si>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</si>
  <si>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</si>
  <si>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</si>
  <si>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</si>
  <si>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</si>
  <si>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</si>
  <si>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</si>
  <si>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</si>
  <si>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</si>
  <si>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</si>
  <si>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</si>
  <si>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</si>
  <si>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</si>
  <si>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</si>
  <si>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</si>
  <si>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</si>
  <si>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</si>
  <si>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</si>
  <si>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</si>
  <si>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</si>
  <si>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</si>
  <si>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</si>
  <si>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</si>
  <si>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</si>
  <si>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</si>
  <si>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</si>
  <si>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</si>
  <si>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</si>
  <si>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</si>
  <si>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</si>
  <si>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</si>
  <si>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</si>
  <si>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</si>
  <si>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</si>
  <si>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</si>
  <si>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</si>
  <si>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</si>
  <si>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</si>
  <si>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</si>
  <si>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</si>
  <si>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</si>
  <si>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</si>
  <si>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</si>
  <si>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</si>
  <si>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</si>
  <si>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</si>
  <si>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</si>
  <si>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</si>
  <si>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</si>
  <si>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</si>
  <si>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</si>
  <si>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</si>
  <si>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</si>
  <si>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</si>
  <si>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</si>
  <si>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</si>
  <si>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</si>
  <si>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</si>
  <si>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</si>
  <si>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</si>
  <si>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</si>
  <si>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</si>
  <si>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</si>
  <si>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</si>
  <si>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</si>
  <si>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</si>
  <si>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</si>
  <si>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</si>
  <si>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</si>
  <si>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</si>
  <si>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</si>
  <si>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</si>
  <si>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</si>
  <si>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</si>
  <si>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</si>
  <si>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</si>
  <si>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</si>
  <si>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</si>
  <si>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</si>
  <si>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</si>
  <si>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</si>
  <si>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</si>
  <si>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</si>
  <si>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</si>
  <si>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</si>
  <si>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</si>
  <si>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</si>
  <si>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</si>
  <si>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</si>
  <si>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</si>
  <si>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</si>
  <si>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</si>
  <si>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</si>
  <si>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</si>
  <si>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</si>
  <si>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</si>
  <si>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</si>
  <si>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</si>
  <si>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</si>
  <si>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</si>
  <si>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</si>
  <si>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</si>
  <si>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</si>
  <si>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</si>
  <si>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</si>
  <si>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</si>
  <si>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</si>
  <si>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</si>
  <si>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</si>
  <si>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</si>
  <si>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</si>
  <si>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</si>
  <si>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</si>
  <si>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</si>
  <si>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</si>
  <si>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</si>
  <si>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</si>
  <si>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</si>
  <si>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</si>
  <si>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</si>
  <si>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</si>
  <si>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</si>
  <si>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</si>
  <si>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</si>
  <si>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</si>
  <si>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</si>
  <si>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</si>
  <si>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</si>
  <si>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</si>
  <si>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</si>
  <si>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</si>
  <si>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</si>
  <si>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</si>
  <si>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</si>
  <si>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</si>
  <si>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</si>
  <si>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</si>
  <si>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</si>
  <si>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</si>
  <si>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</si>
  <si>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</si>
  <si>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</si>
  <si>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</si>
  <si>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</si>
  <si>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</si>
  <si>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</si>
  <si>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</si>
  <si>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</si>
  <si>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</si>
  <si>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</si>
  <si>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</si>
  <si>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</si>
  <si>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</si>
  <si>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</si>
  <si>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</si>
  <si>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</si>
  <si>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</si>
  <si>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</si>
  <si>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</si>
  <si>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</si>
  <si>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</si>
  <si>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</si>
  <si>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</si>
  <si>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</si>
  <si>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</si>
  <si>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</si>
  <si>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</si>
  <si>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</si>
  <si>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</si>
  <si>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</si>
  <si>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</si>
  <si>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</si>
  <si>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</si>
  <si>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</si>
  <si>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</si>
  <si>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</si>
  <si>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</si>
  <si>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</si>
  <si>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</si>
  <si>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</si>
  <si>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</si>
  <si>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</si>
  <si>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</si>
  <si>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</si>
  <si>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</si>
  <si>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</si>
  <si>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</si>
  <si>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</si>
  <si>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</si>
  <si>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</si>
  <si>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</si>
  <si>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</si>
  <si>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</si>
  <si>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</si>
  <si>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</si>
  <si>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</si>
  <si>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</si>
  <si>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</si>
  <si>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</si>
  <si>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</si>
  <si>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</si>
  <si>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</si>
  <si>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</si>
  <si>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</si>
  <si>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</si>
  <si>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</si>
  <si>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</si>
  <si>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</si>
  <si>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</si>
  <si>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</si>
  <si>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</si>
  <si>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</si>
  <si>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</si>
  <si>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</si>
  <si>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</si>
  <si>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</si>
  <si>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</si>
  <si>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</si>
  <si>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</si>
  <si>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</si>
  <si>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</si>
  <si>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</si>
  <si>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</si>
  <si>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</si>
  <si>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</si>
  <si>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</si>
  <si>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</si>
  <si>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</si>
  <si>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</si>
  <si>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</si>
  <si>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</si>
  <si>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</si>
  <si>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</si>
  <si>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</si>
  <si>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</si>
  <si>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</si>
  <si>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</si>
  <si>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</si>
  <si>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</si>
  <si>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</si>
  <si>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</si>
  <si>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</si>
  <si>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</si>
  <si>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</si>
  <si>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</si>
  <si>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</si>
  <si>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</si>
  <si>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</si>
  <si>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</si>
  <si>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</si>
  <si>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</si>
  <si>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</si>
  <si>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</si>
  <si>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</si>
  <si>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</si>
  <si>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</si>
  <si>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</si>
  <si>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</si>
  <si>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</si>
  <si>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</si>
  <si>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</si>
  <si>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</si>
  <si>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</si>
  <si>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</si>
  <si>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</si>
  <si>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</si>
  <si>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</si>
  <si>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</si>
  <si>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</si>
  <si>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</si>
  <si>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</si>
  <si>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</si>
  <si>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</si>
  <si>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</si>
  <si>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</si>
  <si>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</si>
  <si>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</si>
  <si>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</si>
  <si>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</si>
  <si>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</si>
  <si>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</si>
  <si>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</si>
  <si>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</si>
  <si>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</si>
  <si>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</si>
  <si>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</si>
  <si>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</si>
  <si>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</si>
  <si>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</si>
  <si>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</si>
  <si>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</si>
  <si>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</si>
  <si>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</si>
  <si>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</si>
  <si>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</si>
  <si>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</si>
  <si>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</si>
  <si>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</si>
  <si>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</si>
  <si>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</si>
  <si>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</si>
  <si>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</si>
  <si>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</si>
  <si>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</si>
  <si>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</si>
  <si>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</si>
  <si>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</si>
  <si>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</si>
  <si>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</si>
  <si>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</si>
  <si>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</si>
  <si>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</si>
  <si>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</si>
  <si>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</si>
  <si>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</si>
  <si>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</si>
  <si>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</si>
  <si>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</si>
  <si>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</si>
  <si>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</si>
  <si>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</si>
  <si>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</si>
  <si>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</si>
  <si>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</si>
  <si>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</si>
  <si>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</si>
  <si>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</si>
  <si>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</si>
  <si>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</si>
  <si>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</si>
  <si>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</si>
  <si>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</si>
  <si>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</si>
  <si>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</si>
  <si>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</si>
  <si>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</si>
  <si>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</si>
  <si>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</si>
  <si>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</si>
  <si>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</si>
  <si>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</si>
  <si>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</si>
  <si>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</si>
  <si>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</si>
  <si>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</si>
  <si>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</si>
  <si>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</si>
  <si>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</si>
  <si>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</si>
  <si>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</si>
  <si>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</si>
  <si>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</si>
  <si>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</si>
  <si>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</si>
  <si>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</si>
  <si>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</si>
  <si>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</si>
  <si>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</si>
  <si>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</si>
  <si>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</si>
  <si>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</si>
  <si>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</si>
  <si>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</si>
  <si>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</si>
  <si>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</si>
  <si>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</si>
  <si>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</si>
  <si>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</si>
  <si>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</si>
  <si>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</si>
  <si>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</si>
  <si>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</si>
  <si>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</si>
  <si>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</si>
  <si>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</si>
  <si>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</si>
  <si>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</si>
  <si>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</si>
  <si>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</si>
  <si>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</si>
  <si>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</si>
  <si>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</si>
  <si>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</si>
  <si>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</si>
  <si>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</si>
  <si>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</si>
  <si>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</si>
  <si>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</si>
  <si>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</si>
  <si>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</si>
  <si>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</si>
  <si>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</si>
  <si>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</si>
  <si>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</si>
  <si>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</si>
  <si>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</si>
  <si>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</si>
  <si>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</si>
  <si>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</si>
  <si>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</si>
  <si>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</si>
  <si>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</si>
  <si>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</si>
  <si>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</si>
  <si>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</si>
  <si>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</si>
  <si>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</si>
  <si>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</si>
  <si>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</si>
  <si>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</si>
  <si>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</si>
  <si>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</si>
  <si>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</si>
  <si>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</si>
  <si>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</si>
  <si>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</si>
  <si>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</si>
  <si>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</si>
  <si>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</si>
  <si>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</si>
  <si>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</si>
  <si>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</si>
  <si>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</si>
  <si>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</si>
  <si>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</si>
  <si>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</si>
  <si>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</si>
  <si>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</si>
  <si>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</si>
  <si>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</si>
  <si>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</si>
  <si>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</si>
  <si>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</si>
  <si>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</si>
  <si>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</si>
  <si>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</si>
  <si>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</si>
  <si>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</si>
  <si>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</si>
  <si>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</si>
  <si>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</si>
  <si>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</si>
  <si>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</si>
  <si>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</si>
  <si>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</si>
  <si>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</si>
  <si>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</si>
  <si>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</si>
  <si>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</si>
  <si>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</si>
  <si>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</si>
  <si>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</si>
  <si>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</si>
  <si>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</si>
  <si>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</si>
  <si>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</si>
  <si>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</si>
  <si>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</si>
  <si>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</si>
  <si>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</si>
  <si>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</si>
  <si>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</si>
  <si>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</si>
  <si>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</si>
  <si>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</si>
  <si>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</si>
  <si>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</si>
  <si>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</si>
  <si>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</si>
  <si>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</si>
  <si>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</si>
  <si>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</si>
  <si>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</si>
  <si>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</si>
  <si>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</si>
  <si>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</si>
  <si>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</si>
  <si>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</si>
  <si>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</si>
  <si>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</si>
  <si>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</si>
  <si>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</si>
  <si>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</si>
  <si>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</si>
  <si>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</si>
  <si>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</si>
  <si>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</si>
  <si>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</si>
  <si>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</si>
  <si>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</si>
  <si>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</si>
  <si>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</si>
  <si>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</si>
  <si>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</si>
  <si>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</si>
  <si>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</si>
  <si>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</si>
  <si>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</si>
  <si>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</si>
  <si>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</si>
  <si>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</si>
  <si>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</si>
  <si>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</si>
  <si>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</si>
  <si>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</si>
  <si>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</si>
  <si>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</si>
  <si>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</si>
  <si>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</si>
  <si>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</si>
  <si>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</si>
  <si>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</si>
  <si>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</si>
  <si>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</si>
  <si>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</si>
  <si>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</si>
  <si>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</si>
  <si>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</si>
  <si>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</si>
  <si>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</si>
  <si>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</si>
  <si>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</si>
  <si>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</si>
  <si>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</si>
  <si>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</si>
  <si>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</si>
  <si>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</si>
  <si>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</si>
  <si>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</si>
  <si>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</si>
  <si>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</si>
  <si>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</si>
  <si>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</si>
  <si>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</si>
  <si>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</si>
  <si>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</si>
  <si>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</si>
  <si>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</si>
  <si>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</si>
  <si>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</si>
  <si>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</si>
  <si>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</si>
  <si>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</si>
  <si>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</si>
  <si>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</si>
  <si>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</si>
  <si>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</si>
  <si>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</si>
  <si>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</si>
  <si>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</si>
  <si>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</si>
  <si>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</si>
  <si>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</si>
  <si>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</si>
  <si>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</si>
  <si>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</si>
  <si>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</si>
  <si>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ALBACETE</t>
  </si>
  <si>
    <t>Resumenes por Partidos Judiciales</t>
  </si>
  <si>
    <t>ALMANSA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</si>
</sst>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4qWGhA1iZoDj0luSKzsTnPJ+cdcNBkxXPmr1NagrLS/RkD0MNvMqc+1v2zf0VZPA2rCkHnmmV9cRNEbJXhKIg==" saltValue="0Euk3nKizs9UUbsuV/Nq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ALMANSA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27</v>
      </c>
      <c r="F10" s="404">
        <f>IF(ISNUMBER(E10/B10),E10/B10," - ")</f>
        <v>27</v>
      </c>
      <c r="G10" s="403">
        <f>IF(ISNUMBER(Datos!K10),Datos!K10," - ")</f>
        <v>6</v>
      </c>
      <c r="H10" s="404">
        <f>IF(ISNUMBER(G10/B10),G10/B10," - ")</f>
        <v>6</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2650</v>
      </c>
      <c r="D12" s="404">
        <f>IF(ISNUMBER(C12/Datos!BH12),C12/Datos!BH12," - ")</f>
        <v>1325</v>
      </c>
      <c r="E12" s="403">
        <f>IF(ISNUMBER(IF(J_V="SI",Datos!J12,Datos!J12+Datos!Z12)),IF(J_V="SI",Datos!J12,Datos!J12+Datos!Z12)," - ")</f>
        <v>964</v>
      </c>
      <c r="F12" s="404">
        <f>IF(ISNUMBER(E12/B12),E12/B12," - ")</f>
        <v>482</v>
      </c>
      <c r="G12" s="403">
        <f>IF(ISNUMBER(IF(J_V="SI",Datos!K12,Datos!K12+Datos!AA12)),IF(J_V="SI",Datos!K12,Datos!K12+Datos!AA12)," - ")</f>
        <v>462</v>
      </c>
      <c r="H12" s="404">
        <f>IF(ISNUMBER(G12/B12),G12/B12," - ")</f>
        <v>231</v>
      </c>
      <c r="I12" s="403">
        <f>IF(ISNUMBER(IF(J_V="SI",Datos!L12,Datos!L12+Datos!AB12)),IF(J_V="SI",Datos!L12,Datos!L12+Datos!AB12)," - ")</f>
        <v>3150</v>
      </c>
      <c r="J12" s="404">
        <f>IF(ISNUMBER(I12/B12),I12/B12," - ")</f>
        <v>1575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2659</v>
      </c>
      <c r="D13" s="850" t="str">
        <f>IF(ISNUMBER(C13/Datos!BI13),C13/Datos!BI13," - ")</f>
        <v xml:space="preserve"> - </v>
      </c>
      <c r="E13" s="849">
        <f>SUBTOTAL(9,E8:E12)</f>
        <v>991</v>
      </c>
      <c r="F13" s="850">
        <f>IF(ISNUMBER(E13/B13),E13/B13," - ")</f>
        <v>495.5</v>
      </c>
      <c r="G13" s="849">
        <f>SUBTOTAL(9,G8:G12)</f>
        <v>468</v>
      </c>
      <c r="H13" s="850">
        <f>IF(ISNUMBER(G13/B13),G13/B13," - ")</f>
        <v>234</v>
      </c>
      <c r="I13" s="849">
        <f>SUBTOTAL(9,I8:I12)</f>
        <v>3180</v>
      </c>
      <c r="J13" s="850">
        <f>IF(ISNUMBER(I13/B13),I13/B13," - ")</f>
        <v>1590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1158</v>
      </c>
      <c r="D16" s="404">
        <f>IF(ISNUMBER(C16/Datos!BH16),C16/Datos!BH16," - ")</f>
        <v>579</v>
      </c>
      <c r="E16" s="403">
        <f>IF(ISNUMBER(IF(D_I="SI",Datos!J16,Datos!J16+Datos!AD16)),IF(D_I="SI",Datos!J16,Datos!J16+Datos!AD16)," - ")</f>
        <v>360</v>
      </c>
      <c r="F16" s="404">
        <f>IF(ISNUMBER(E16/B16),E16/B16," - ")</f>
        <v>180</v>
      </c>
      <c r="G16" s="403">
        <f>IF(ISNUMBER(IF(D_I="SI",Datos!K16,Datos!K16+Datos!AE16)),IF(D_I="SI",Datos!K16,Datos!K16+Datos!AE16)," - ")</f>
        <v>397</v>
      </c>
      <c r="H16" s="404">
        <f>IF(ISNUMBER(G16/B16),G16/B16," - ")</f>
        <v>198.5</v>
      </c>
      <c r="I16" s="403">
        <f>IF(ISNUMBER(IF(D_I="SI",Datos!L16,Datos!L16+Datos!AF16)),IF(D_I="SI",Datos!L16,Datos!L16+Datos!AF16)," - ")</f>
        <v>1137</v>
      </c>
      <c r="J16" s="404">
        <f>IF(ISNUMBER(I16/B16),I16/B16," - ")</f>
        <v>568.5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24</v>
      </c>
      <c r="F17" s="404">
        <f>IF(ISNUMBER(E17/B17),E17/B17," - ")</f>
        <v>24</v>
      </c>
      <c r="G17" s="403">
        <f>IF(ISNUMBER(IF(D_I="SI",Datos!K17,Datos!K17+Datos!AE17)),IF(D_I="SI",Datos!K17,Datos!K17+Datos!AE17)," - ")</f>
        <v>24</v>
      </c>
      <c r="H17" s="404">
        <f>IF(ISNUMBER(G17/B17),G17/B17," - ")</f>
        <v>24</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1191</v>
      </c>
      <c r="D18" s="850" t="str">
        <f>IF(ISNUMBER(C18/Datos!BI18),C18/Datos!BI18," - ")</f>
        <v xml:space="preserve"> - </v>
      </c>
      <c r="E18" s="849">
        <f>SUBTOTAL(9,E14:E17)</f>
        <v>384</v>
      </c>
      <c r="F18" s="850">
        <f>IF(ISNUMBER(E18/B18),E18/B18," - ")</f>
        <v>192</v>
      </c>
      <c r="G18" s="849">
        <f>SUBTOTAL(9,G14:G17)</f>
        <v>421</v>
      </c>
      <c r="H18" s="850">
        <f>IF(ISNUMBER(G18/B18),G18/B18," - ")</f>
        <v>210.5</v>
      </c>
      <c r="I18" s="849">
        <f>SUBTOTAL(9,I14:I17)</f>
        <v>1170</v>
      </c>
      <c r="J18" s="850">
        <f>IF(ISNUMBER(I18/B18),I18/B18," - ")</f>
        <v>585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3850</v>
      </c>
      <c r="D19" s="795" t="str">
        <f>IF(ISNUMBER(C19/Datos!BI19),C19/Datos!BI19," - ")</f>
        <v xml:space="preserve"> - </v>
      </c>
      <c r="E19" s="794">
        <f>SUBTOTAL(9,E9:E18)</f>
        <v>1375</v>
      </c>
      <c r="F19" s="795">
        <f>IF(ISNUMBER(E19/B19),E19/B19," - ")</f>
        <v>687.5</v>
      </c>
      <c r="G19" s="794">
        <f>SUBTOTAL(9,G9:G18)</f>
        <v>889</v>
      </c>
      <c r="H19" s="795">
        <f>IF(ISNUMBER(G19/B19),G19/B19," - ")</f>
        <v>444.5</v>
      </c>
      <c r="I19" s="794">
        <f>SUBTOTAL(9,I9:I18)</f>
        <v>4350</v>
      </c>
      <c r="J19" s="795">
        <f>IF(ISNUMBER(I19/B19),I19/B19," - ")</f>
        <v>2175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JBMXCA0qVdy4mWBdbC41J0ufMWKA54UGsnzUtJhg0K7x+005viR0jVgIskMzbtkpnwaJEqGeEaowZ8zb7RcPQ==" saltValue="N4S3LG9CUhQjS5yBuATC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ALMANSA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OMTol5etxUEzpU1GvW/LW46mFMKl2uAJTNDbYnGmpPStFVOWnDmBni2MK8X2hQj9uGX417forllcp1YN4t5aLQ==" saltValue="xp495U6wjpSd3h4TzuCA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ALMANSA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140</v>
      </c>
      <c r="E12" s="404">
        <f t="shared" si="0"/>
        <v>70</v>
      </c>
      <c r="F12" s="403">
        <f>IF(ISNUMBER(Datos!N12),Datos!N12," - ")</f>
        <v>21</v>
      </c>
      <c r="G12" s="404">
        <f t="shared" si="1"/>
        <v>10.5</v>
      </c>
      <c r="H12" s="403">
        <f>IF(ISNUMBER(Datos!O12),Datos!O12," - ")</f>
        <v>168</v>
      </c>
      <c r="I12" s="404">
        <f t="shared" si="2"/>
        <v>84</v>
      </c>
      <c r="BZ12" s="1186">
        <f>Datos!EZ12</f>
        <v>0</v>
      </c>
    </row>
    <row r="13" spans="1:78" ht="14.25" thickTop="1" thickBot="1">
      <c r="A13" s="848" t="str">
        <f>Datos!A13</f>
        <v>TOTAL</v>
      </c>
      <c r="B13" s="849">
        <f>Datos!AP13</f>
        <v>2</v>
      </c>
      <c r="C13" s="851">
        <f>Datos!AR13</f>
        <v>2</v>
      </c>
      <c r="D13" s="849">
        <f>SUBTOTAL(9,D9:D12)</f>
        <v>141</v>
      </c>
      <c r="E13" s="850">
        <f t="shared" si="0"/>
        <v>70.5</v>
      </c>
      <c r="F13" s="849">
        <f>SUBTOTAL(9,F9:F12)</f>
        <v>21</v>
      </c>
      <c r="G13" s="850">
        <f t="shared" si="1"/>
        <v>10.5</v>
      </c>
      <c r="H13" s="849">
        <f>SUBTOTAL(9,H9:H12)</f>
        <v>168</v>
      </c>
      <c r="I13" s="850">
        <f>IF(ISNUMBER(H13/B13),H13/B13," - ")</f>
        <v>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195</v>
      </c>
      <c r="G16" s="404">
        <f t="shared" si="4"/>
        <v>97.5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49</v>
      </c>
      <c r="E18" s="850">
        <f t="shared" si="3"/>
        <v>24.5</v>
      </c>
      <c r="F18" s="849">
        <f>SUBTOTAL(9,F15:F17)</f>
        <v>210</v>
      </c>
      <c r="G18" s="850">
        <f t="shared" si="4"/>
        <v>105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190</v>
      </c>
      <c r="E19" s="795">
        <f>IF(ISNUMBER(D19/B19),D19/B19," - ")</f>
        <v>95</v>
      </c>
      <c r="F19" s="794">
        <f>SUBTOTAL(9,F8:F18)</f>
        <v>231</v>
      </c>
      <c r="G19" s="795">
        <f>IF(ISNUMBER(F19/B19),F19/B19," - ")</f>
        <v>115.5</v>
      </c>
      <c r="H19" s="794">
        <f>SUBTOTAL(9,H8:H18)</f>
        <v>171</v>
      </c>
      <c r="I19" s="795">
        <f>IF(ISNUMBER(H19/B19),H19/B19," - ")</f>
        <v>85.5</v>
      </c>
    </row>
    <row r="22" spans="1:78">
      <c r="A22" s="391" t="str">
        <f>Criterios!A4</f>
        <v>Fecha Informe: 03 jun. 2025</v>
      </c>
    </row>
    <row r="27" spans="1:78">
      <c r="A27" s="414"/>
    </row>
  </sheetData>
  <sheetProtection algorithmName="SHA-512" hashValue="Zd+vqVXBok64i/9HuC9K/qRR1ZVUDbW19Mseze6MHlH70nr6ZOAUS2L6omfl3NeiucUfiDPcsz1LFUijLE0RVw==" saltValue="vfGEfVDsrMLYA1l+KZbF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ALMANSA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100</v>
      </c>
      <c r="C12" s="434">
        <f>IF(ISNUMBER(Datos!Q12),Datos!Q12," - ")</f>
        <v>285</v>
      </c>
      <c r="D12" s="408">
        <f>IF(ISNUMBER(Datos!R12),Datos!R12," - ")</f>
        <v>2323</v>
      </c>
    </row>
    <row r="13" spans="1:4" ht="14.25" thickTop="1" thickBot="1">
      <c r="A13" s="848" t="str">
        <f>Datos!A13</f>
        <v>TOTAL</v>
      </c>
      <c r="B13" s="849">
        <f>SUBTOTAL(9,B9:B12)</f>
        <v>100</v>
      </c>
      <c r="C13" s="853">
        <f>SUBTOTAL(9,C9:C12)</f>
        <v>285</v>
      </c>
      <c r="D13" s="851">
        <f>SUBTOTAL(9,D9:D12)</f>
        <v>2323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8</v>
      </c>
      <c r="D16" s="408">
        <f>IF(ISNUMBER(Datos!R16),Datos!R16," - ")</f>
        <v>99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8</v>
      </c>
      <c r="D18" s="851">
        <f>SUBTOTAL(9,D15:D17)</f>
        <v>99</v>
      </c>
    </row>
    <row r="19" spans="1:4" ht="16.5" customHeight="1" thickTop="1" thickBot="1">
      <c r="A19" s="793" t="str">
        <f>Datos!A19</f>
        <v>TOTAL JURISDICCIONES</v>
      </c>
      <c r="B19" s="798">
        <f>SUBTOTAL(9,B8:B18)</f>
        <v>119</v>
      </c>
      <c r="C19" s="799">
        <f>SUBTOTAL(9,C8:C18)</f>
        <v>293</v>
      </c>
      <c r="D19" s="800">
        <f>SUBTOTAL(9,D8:D18)</f>
        <v>2422</v>
      </c>
    </row>
    <row r="20" spans="1:4" ht="7.5" customHeight="1"/>
    <row r="21" spans="1:4" ht="6" customHeight="1"/>
    <row r="22" spans="1:4">
      <c r="A22" s="391" t="str">
        <f>Criterios!A4</f>
        <v>Fecha Informe: 03 jun. 2025</v>
      </c>
    </row>
    <row r="27" spans="1:4">
      <c r="A27" s="414"/>
    </row>
  </sheetData>
  <sheetProtection algorithmName="SHA-512" hashValue="LK1Cu5gkl2tDCph9G78sLlUZOA7r01NVBmTj1l/dVagoK7tCsGsDiOwY040M4ZMc4VGXo7kP/oDi/UaiybM6Ow==" saltValue="tyIyWoLNdTWtB0lBEGWc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ALMANSA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8</v>
      </c>
      <c r="D10" s="456" t="str">
        <f>IF(ISNUMBER((Datos!K10-Datos!U10)/Datos!U10),(Datos!K10-Datos!U10)/Datos!U10," - ")</f>
        <v xml:space="preserve"> - </v>
      </c>
      <c r="E10" s="456">
        <f>IF(ISNUMBER((Datos!L10-Datos!V10)/Datos!V10),(Datos!L10-Datos!V10)/Datos!V10," - ")</f>
        <v>1.5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0.28267182962245885</v>
      </c>
      <c r="C12" s="456">
        <f>IF(ISNUMBER(
   IF(J_V="SI",(Datos!J12-Datos!T12)/Datos!T12,(Datos!J12+Datos!Z12-(Datos!T12+Datos!AH12))/(Datos!T12+Datos!AH12))
     ),IF(J_V="SI",(Datos!J12-Datos!T12)/Datos!T12,(Datos!J12+Datos!Z12-(Datos!T12+Datos!AH12))/(Datos!T12+Datos!AH12))," - ")</f>
        <v>1.0554371002132197</v>
      </c>
      <c r="D12" s="456">
        <f>IF(ISNUMBER(
   IF(J_V="SI",(Datos!K12-Datos!U12)/Datos!U12,(Datos!K12+Datos!AA12-(Datos!U12+Datos!AI12))/(Datos!U12+Datos!AI12))
     ),IF(J_V="SI",(Datos!K12-Datos!U12)/Datos!U12,(Datos!K12+Datos!AA12-(Datos!U12+Datos!AI12))/(Datos!U12+Datos!AI12))," - ")</f>
        <v>0.203125</v>
      </c>
      <c r="E12" s="456">
        <f>IF(ISNUMBER(
   IF(J_V="SI",(Datos!L12-Datos!V12)/Datos!V12,(Datos!L12+Datos!AB12-(Datos!V12+Datos!AJ12))/(Datos!V12+Datos!AJ12))
     ),IF(J_V="SI",(Datos!L12-Datos!V12)/Datos!V12,(Datos!L12+Datos!AB12-(Datos!V12+Datos!AJ12))/(Datos!V12+Datos!AJ12))," - ")</f>
        <v>0.49147727272727271</v>
      </c>
      <c r="F12" s="456">
        <f>IF(ISNUMBER((Datos!M12-Datos!W12)/Datos!W12),(Datos!M12-Datos!W12)/Datos!W12," - ")</f>
        <v>0.38613861386138615</v>
      </c>
      <c r="G12" s="457">
        <f>IF(ISNUMBER((Datos!N12-Datos!X12)/Datos!X12),(Datos!N12-Datos!X12)/Datos!X12," - ")</f>
        <v>-0.82644628099173556</v>
      </c>
      <c r="H12" s="455">
        <f>IF(ISNUMBER(((NºAsuntos!G12/NºAsuntos!E12)-Datos!BD12)/Datos!BD12),((NºAsuntos!G12/NºAsuntos!E12)-Datos!BD12)/Datos!BD12," - ")</f>
        <v>-0.41466221473029041</v>
      </c>
      <c r="I12" s="456">
        <f>IF(ISNUMBER(((NºAsuntos!I12/NºAsuntos!G12)-Datos!BE12)/Datos!BE12),((NºAsuntos!I12/NºAsuntos!G12)-Datos!BE12)/Datos!BE12," - ")</f>
        <v>0.23966942148760334</v>
      </c>
      <c r="J12" s="461">
        <f>IF(ISNUMBER((('Resol  Asuntos'!D12/NºAsuntos!G12)-Datos!BF12)/Datos!BF12),(('Resol  Asuntos'!D12/NºAsuntos!G12)-Datos!BF12)/Datos!BF12," - ")</f>
        <v>-3.8317054845980497E-2</v>
      </c>
      <c r="K12" s="462">
        <f>IF(ISNUMBER((((NºAsuntos!C12+NºAsuntos!E12)/NºAsuntos!G12)-Datos!BG12)/Datos!BG12),(((NºAsuntos!C12+NºAsuntos!E12)/NºAsuntos!G12)-Datos!BG12)/Datos!BG12," - ")</f>
        <v>0.18494838494838495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0.2814457831325301</v>
      </c>
      <c r="C13" s="855">
        <f>IF(ISNUMBER(
   IF(J_V="SI",(Datos!J13-Datos!T13)/Datos!T13,(Datos!J13+Datos!Z13-(Datos!T13+Datos!AH13))/(Datos!T13+Datos!AH13))
     ),IF(J_V="SI",(Datos!J13-Datos!T13)/Datos!T13,(Datos!J13+Datos!Z13-(Datos!T13+Datos!AH13))/(Datos!T13+Datos!AH13))," - ")</f>
        <v>1.0995762711864407</v>
      </c>
      <c r="D13" s="855">
        <f>IF(ISNUMBER(
   IF(J_V="SI",(Datos!K13-Datos!U13)/Datos!U13,(Datos!K13+Datos!AA13-(Datos!U13+Datos!AI13))/(Datos!U13+Datos!AI13))
     ),IF(J_V="SI",(Datos!K13-Datos!U13)/Datos!U13,(Datos!K13+Datos!AA13-(Datos!U13+Datos!AI13))/(Datos!U13+Datos!AI13))," - ")</f>
        <v>0.21875</v>
      </c>
      <c r="E13" s="855">
        <f>IF(ISNUMBER(
   IF(J_V="SI",(Datos!L13-Datos!V13)/Datos!V13,(Datos!L13+Datos!AB13-(Datos!V13+Datos!AJ13))/(Datos!V13+Datos!AJ13))
     ),IF(J_V="SI",(Datos!L13-Datos!V13)/Datos!V13,(Datos!L13+Datos!AB13-(Datos!V13+Datos!AJ13))/(Datos!V13+Datos!AJ13))," - ")</f>
        <v>0.49717514124293788</v>
      </c>
      <c r="F13" s="856">
        <f>IF(ISNUMBER((Datos!M13-Datos!W13)/Datos!W13),(Datos!M13-Datos!W13)/Datos!W13," - ")</f>
        <v>0.39603960396039606</v>
      </c>
      <c r="G13" s="857">
        <f>IF(ISNUMBER((Datos!N13-Datos!X13)/Datos!X13),(Datos!N13-Datos!X13)/Datos!X13," - ")</f>
        <v>-0.82644628099173556</v>
      </c>
      <c r="H13" s="857">
        <f>IF(ISNUMBER(((NºAsuntos!G13/NºAsuntos!E13)-Datos!BD13)/Datos!BD13),((NºAsuntos!G13/NºAsuntos!E13)-Datos!BD13)/Datos!BD13," - ")</f>
        <v>-0.41952573158425838</v>
      </c>
      <c r="I13" s="857">
        <f>IF(ISNUMBER(((NºAsuntos!I13/NºAsuntos!G13)-Datos!BE13)/Datos!BE13),((NºAsuntos!I13/NºAsuntos!G13)-Datos!BE13)/Datos!BE13," - ")</f>
        <v>0.22845139794292335</v>
      </c>
      <c r="J13" s="857">
        <f>IF(ISNUMBER((('Resol  Asuntos'!D13/NºAsuntos!G13)-Datos!BF13)/Datos!BF13),(('Resol  Asuntos'!D13/NºAsuntos!G13)-Datos!BF13)/Datos!BF13," - ")</f>
        <v>-4.3865225683407609E-2</v>
      </c>
      <c r="K13" s="857">
        <f>IF(ISNUMBER((((NºAsuntos!C13+NºAsuntos!E13)/NºAsuntos!G13)-Datos!BG13)/Datos!BG13),(((NºAsuntos!C13+NºAsuntos!E13)/NºAsuntos!G13)-Datos!BG13)/Datos!BG13," - ")</f>
        <v>0.17584287195594614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0.18042813455657492</v>
      </c>
      <c r="C16" s="456">
        <f>IF(ISNUMBER(
   IF(D_I="SI",(Datos!J16-Datos!T16)/Datos!T16,(Datos!J16+Datos!AD16-(Datos!T16+Datos!AL16))/(Datos!T16+Datos!AL16))
     ),IF(D_I="SI",(Datos!J16-Datos!T16)/Datos!T16,(Datos!J16+Datos!AD16-(Datos!T16+Datos!AL16))/(Datos!T16+Datos!AL16))," - ")</f>
        <v>-8.1632653061224483E-2</v>
      </c>
      <c r="D16" s="456">
        <f>IF(ISNUMBER(
   IF(D_I="SI",(Datos!K16-Datos!U16)/Datos!U16,(Datos!K16+Datos!AE16-(Datos!U16+Datos!AM16))/(Datos!U16+Datos!AM16))
     ),IF(D_I="SI",(Datos!K16-Datos!U16)/Datos!U16,(Datos!K16+Datos!AE16-(Datos!U16+Datos!AM16))/(Datos!U16+Datos!AM16))," - ")</f>
        <v>0.19219219219219219</v>
      </c>
      <c r="E16" s="456">
        <f>IF(ISNUMBER(
   IF(D_I="SI",(Datos!L16-Datos!V16)/Datos!V16,(Datos!L16+Datos!AF16-(Datos!V16+Datos!AN16))/(Datos!V16+Datos!AN16))
     ),IF(D_I="SI",(Datos!L16-Datos!V16)/Datos!V16,(Datos!L16+Datos!AF16-(Datos!V16+Datos!AN16))/(Datos!V16+Datos!AN16))," - ")</f>
        <v>9.2219020172910657E-2</v>
      </c>
      <c r="F16" s="456">
        <f>IF(ISNUMBER((Datos!M16-Datos!W16)/Datos!W16),(Datos!M16-Datos!W16)/Datos!W16," - ")</f>
        <v>0.22222222222222221</v>
      </c>
      <c r="G16" s="457">
        <f>IF(ISNUMBER((Datos!N16-Datos!X16)/Datos!X16),(Datos!N16-Datos!X16)/Datos!X16," - ")</f>
        <v>0.19631901840490798</v>
      </c>
      <c r="H16" s="455">
        <f>IF(ISNUMBER(((NºAsuntos!G16/NºAsuntos!E16)-Datos!BD16)/Datos!BD16),((NºAsuntos!G16/NºAsuntos!E16)-Datos!BD16)/Datos!BD16," - ")</f>
        <v>0.29816483149816486</v>
      </c>
      <c r="I16" s="456">
        <f>IF(ISNUMBER(((NºAsuntos!I16/NºAsuntos!G16)-Datos!BE16)/Datos!BE16),((NºAsuntos!I16/NºAsuntos!G16)-Datos!BE16)/Datos!BE16," - ")</f>
        <v>-8.385659013204215E-2</v>
      </c>
      <c r="J16" s="461">
        <f>IF(ISNUMBER((('Resol  Asuntos'!D16/NºAsuntos!G16)-Datos!BF16)/Datos!BF16),(('Resol  Asuntos'!D16/NºAsuntos!G16)-Datos!BF16)/Datos!BF16," - ")</f>
        <v>2.5188916876574256E-2</v>
      </c>
      <c r="K16" s="462">
        <f>IF(ISNUMBER((((NºAsuntos!C16+NºAsuntos!E16)/NºAsuntos!G16)-Datos!BG16)/Datos!BG16),(((NºAsuntos!C16+NºAsuntos!E16)/NºAsuntos!G16)-Datos!BG16)/Datos!BG16," - ")</f>
        <v>-7.262590330611414E-2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-5.7142857142857141E-2</v>
      </c>
      <c r="C17" s="456">
        <f>IF(ISNUMBER(
   IF(D_I="SI",(Datos!J17-Datos!T17)/Datos!T17,(Datos!J17+Datos!AD17-(Datos!T17+Datos!AL17))/(Datos!T17+Datos!AL17))
     ),IF(D_I="SI",(Datos!J17-Datos!T17)/Datos!T17,(Datos!J17+Datos!AD17-(Datos!T17+Datos!AL17))/(Datos!T17+Datos!AL17))," - ")</f>
        <v>0.7142857142857143</v>
      </c>
      <c r="D17" s="456">
        <f>IF(ISNUMBER(
   IF(D_I="SI",(Datos!K17-Datos!U17)/Datos!U17,(Datos!K17+Datos!AE17-(Datos!U17+Datos!AM17))/(Datos!U17+Datos!AM17))
     ),IF(D_I="SI",(Datos!K17-Datos!U17)/Datos!U17,(Datos!K17+Datos!AE17-(Datos!U17+Datos!AM17))/(Datos!U17+Datos!AM17))," - ")</f>
        <v>1.1818181818181819</v>
      </c>
      <c r="E17" s="456">
        <f>IF(ISNUMBER(
   IF(D_I="SI",(Datos!L17-Datos!V17)/Datos!V17,(Datos!L17+Datos!AF17-(Datos!V17+Datos!AN17))/(Datos!V17+Datos!AN17))
     ),IF(D_I="SI",(Datos!L17-Datos!V17)/Datos!V17,(Datos!L17+Datos!AF17-(Datos!V17+Datos!AN17))/(Datos!V17+Datos!AN17))," - ")</f>
        <v>-0.13157894736842105</v>
      </c>
      <c r="F17" s="456">
        <f>IF(ISNUMBER((Datos!M17-Datos!W17)/Datos!W17),(Datos!M17-Datos!W17)/Datos!W17," - ")</f>
        <v>1.5</v>
      </c>
      <c r="G17" s="457">
        <f>IF(ISNUMBER((Datos!N17-Datos!X17)/Datos!X17),(Datos!N17-Datos!X17)/Datos!X17," - ")</f>
        <v>0.15384615384615385</v>
      </c>
      <c r="H17" s="455">
        <f>IF(ISNUMBER(((NºAsuntos!G17/NºAsuntos!E17)-Datos!BD17)/Datos!BD17),((NºAsuntos!G17/NºAsuntos!E17)-Datos!BD17)/Datos!BD17," - ")</f>
        <v>0.27272727272727276</v>
      </c>
      <c r="I17" s="456">
        <f>IF(ISNUMBER(((NºAsuntos!I17/NºAsuntos!G17)-Datos!BE17)/Datos!BE17),((NºAsuntos!I17/NºAsuntos!G17)-Datos!BE17)/Datos!BE17," - ")</f>
        <v>-0.60197368421052633</v>
      </c>
      <c r="J17" s="461">
        <f>IF(ISNUMBER((('Resol  Asuntos'!D17/NºAsuntos!G17)-Datos!BF17)/Datos!BF17),(('Resol  Asuntos'!D17/NºAsuntos!G17)-Datos!BF17)/Datos!BF17," - ")</f>
        <v>0.14583333333333334</v>
      </c>
      <c r="K17" s="462">
        <f>IF(ISNUMBER((((NºAsuntos!C17+NºAsuntos!E17)/NºAsuntos!G17)-Datos!BG17)/Datos!BG17),(((NºAsuntos!C17+NºAsuntos!E17)/NºAsuntos!G17)-Datos!BG17)/Datos!BG17," - ")</f>
        <v>-0.46683673469387749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0.17224409448818898</v>
      </c>
      <c r="C18" s="855">
        <f>IF(ISNUMBER(
   IF(Criterios!B14="SI",(Datos!J18-Datos!T18)/Datos!T18,(Datos!J18+Datos!AD18-(Datos!T18+Datos!AL18))/(Datos!T18+Datos!AL18))
     ),IF(Criterios!B14="SI",(Datos!J18-Datos!T18)/Datos!T18,(Datos!J18+Datos!AD18-(Datos!T18+Datos!AL18))/(Datos!T18+Datos!AL18))," - ")</f>
        <v>-5.4187192118226604E-2</v>
      </c>
      <c r="D18" s="855">
        <f>IF(ISNUMBER(
   IF(Criterios!B14="SI",(Datos!K18-Datos!U18)/Datos!U18,(Datos!K18+Datos!AE18-(Datos!U18+Datos!AM18))/(Datos!U18+Datos!AM18))
     ),IF(Criterios!B14="SI",(Datos!K18-Datos!U18)/Datos!U18,(Datos!K18+Datos!AE18-(Datos!U18+Datos!AM18))/(Datos!U18+Datos!AM18))," - ")</f>
        <v>0.22383720930232559</v>
      </c>
      <c r="E18" s="855">
        <f>IF(ISNUMBER(
   IF(Criterios!B14="SI",(Datos!L18-Datos!V18)/Datos!V18,(Datos!L18+Datos!AF18-(Datos!V18+Datos!AN18))/(Datos!V18+Datos!AN18))
     ),IF(Criterios!B14="SI",(Datos!L18-Datos!V18)/Datos!V18,(Datos!L18+Datos!AF18-(Datos!V18+Datos!AN18))/(Datos!V18+Datos!AN18))," - ")</f>
        <v>8.4337349397590355E-2</v>
      </c>
      <c r="F18" s="856">
        <f>IF(ISNUMBER((Datos!M18-Datos!W18)/Datos!W18),(Datos!M18-Datos!W18)/Datos!W18," - ")</f>
        <v>0.28947368421052633</v>
      </c>
      <c r="G18" s="857">
        <f>IF(ISNUMBER((Datos!N18-Datos!X18)/Datos!X18),(Datos!N18-Datos!X18)/Datos!X18," - ")</f>
        <v>0.19318181818181818</v>
      </c>
      <c r="H18" s="857">
        <f>IF(ISNUMBER(((NºAsuntos!G18/NºAsuntos!E18)-Datos!BD18)/Datos!BD18),((NºAsuntos!G18/NºAsuntos!E18)-Datos!BD18)/Datos!BD18," - ")</f>
        <v>0.29395288275193815</v>
      </c>
      <c r="I18" s="857">
        <f>IF(ISNUMBER(((NºAsuntos!I18/NºAsuntos!G18)-Datos!BE18)/Datos!BE18),((NºAsuntos!I18/NºAsuntos!G18)-Datos!BE18)/Datos!BE18," - ")</f>
        <v>-0.113985633746387</v>
      </c>
      <c r="J18" s="857">
        <f>IF(ISNUMBER((('Resol  Asuntos'!D18/NºAsuntos!G18)-Datos!BF18)/Datos!BF18),(('Resol  Asuntos'!D18/NºAsuntos!G18)-Datos!BF18)/Datos!BF18," - ")</f>
        <v>5.3631703962995346E-2</v>
      </c>
      <c r="K18" s="857">
        <f>IF(ISNUMBER((((NºAsuntos!C18+NºAsuntos!E18)/NºAsuntos!G18)-Datos!BG18)/Datos!BG18),(((NºAsuntos!C18+NºAsuntos!E18)/NºAsuntos!G18)-Datos!BG18)/Datos!BG18," - ")</f>
        <v>-9.4981809435040143E-2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0.24555160142348753</v>
      </c>
      <c r="C19" s="802">
        <f>IF(ISNUMBER(
   IF(J_V="SI",(Datos!J19-Datos!T19)/Datos!T19,(Datos!J19+Datos!Z19-(Datos!T19+Datos!AH19))/(Datos!T19+Datos!AH19))
     ),IF(J_V="SI",(Datos!J19-Datos!T19)/Datos!T19,(Datos!J19+Datos!Z19-(Datos!T19+Datos!AH19))/(Datos!T19+Datos!AH19))," - ")</f>
        <v>0.56605922551252852</v>
      </c>
      <c r="D19" s="802">
        <f>IF(ISNUMBER(
   IF(J_V="SI",(Datos!K19-Datos!U19)/Datos!U19,(Datos!K19+Datos!AA19-(Datos!U19+Datos!AI19))/(Datos!U19+Datos!AI19))
     ),IF(J_V="SI",(Datos!K19-Datos!U19)/Datos!U19,(Datos!K19+Datos!AA19-(Datos!U19+Datos!AI19))/(Datos!U19+Datos!AI19))," - ")</f>
        <v>0.22115384615384615</v>
      </c>
      <c r="E19" s="802">
        <f>IF(ISNUMBER(
   IF(J_V="SI",(Datos!L19-Datos!V19)/Datos!V19,(Datos!L19+Datos!AB19-(Datos!V19+Datos!AJ19))/(Datos!V19+Datos!AJ19))
     ),IF(J_V="SI",(Datos!L19-Datos!V19)/Datos!V19,(Datos!L19+Datos!AB19-(Datos!V19+Datos!AJ19))/(Datos!V19+Datos!AJ19))," - ")</f>
        <v>0.35810177958164219</v>
      </c>
      <c r="F19" s="803">
        <f>IF(ISNUMBER((Datos!M19-Datos!W19)/Datos!W19),(Datos!M19-Datos!W19)/Datos!W19," - ")</f>
        <v>0.36690647482014388</v>
      </c>
      <c r="G19" s="804">
        <f>IF(ISNUMBER((Datos!N19-Datos!X19)/Datos!X19),(Datos!N19-Datos!X19)/Datos!X19," - ")</f>
        <v>-0.22222222222222221</v>
      </c>
      <c r="H19" s="805">
        <f>IF(ISNUMBER((Tasas!B19-Datos!BD19)/Datos!BD19),(Tasas!B19-Datos!BD19)/Datos!BD19," - ")</f>
        <v>-0.2202377622377622</v>
      </c>
      <c r="I19" s="806">
        <f>IF(ISNUMBER((Tasas!C19-Datos!BE19)/Datos!BE19),(Tasas!C19-Datos!BE19)/Datos!BE19," - ")</f>
        <v>0.11214633918496694</v>
      </c>
      <c r="J19" s="807">
        <f>IF(ISNUMBER((Tasas!D19-Datos!BF19)/Datos!BF19),(Tasas!D19-Datos!BF19)/Datos!BF19," - ")</f>
        <v>-2.1443074332689528E-2</v>
      </c>
      <c r="K19" s="807">
        <f>IF(ISNUMBER((Tasas!E19-Datos!BG19)/Datos!BG19),(Tasas!E19-Datos!BG19)/Datos!BG19," - ")</f>
        <v>7.8039848193579092E-2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u2SCgZhIVXxpwfgdE1FyFIpHd+DEdkGC7MHIfuXVimBs0561xe2jJgqV8S+UkU6AK6TQMjUWlwbJW0to1w3nw==" saltValue="YWSuVZO+O3JMMypchM/c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ALMANSA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0.22222222222222221</v>
      </c>
      <c r="C10" s="443">
        <f>IF(ISNUMBER(NºAsuntos!I10/NºAsuntos!G10),NºAsuntos!I10/NºAsuntos!G10," - ")</f>
        <v>5</v>
      </c>
      <c r="D10" s="444">
        <f>IF(ISNUMBER('Resol  Asuntos'!D10/NºAsuntos!G10),'Resol  Asuntos'!D10/NºAsuntos!G10," - ")</f>
        <v>0.16666666666666666</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0.47925311203319504</v>
      </c>
      <c r="C12" s="443">
        <f>IF(ISNUMBER(NºAsuntos!I12/NºAsuntos!G12),NºAsuntos!I12/NºAsuntos!G12," - ")</f>
        <v>6.8181818181818183</v>
      </c>
      <c r="D12" s="444">
        <f>IF(ISNUMBER('Resol  Asuntos'!D12/NºAsuntos!G12),'Resol  Asuntos'!D12/NºAsuntos!G12," - ")</f>
        <v>0.30303030303030304</v>
      </c>
      <c r="E12" s="445">
        <f>IF(ISNUMBER((NºAsuntos!C12+NºAsuntos!E12)/NºAsuntos!G12),(NºAsuntos!C12+NºAsuntos!E12)/NºAsuntos!G12," - ")</f>
        <v>7.8225108225108224</v>
      </c>
      <c r="G12" s="463"/>
    </row>
    <row r="13" spans="1:7" ht="14.25" thickTop="1" thickBot="1">
      <c r="A13" s="848" t="str">
        <f>Datos!A13</f>
        <v>TOTAL</v>
      </c>
      <c r="B13" s="858">
        <f>IF(ISNUMBER(NºAsuntos!G13/NºAsuntos!E13),NºAsuntos!G13/NºAsuntos!E13," - ")</f>
        <v>0.47225025227043388</v>
      </c>
      <c r="C13" s="859">
        <f>IF(ISNUMBER(NºAsuntos!I13/NºAsuntos!G13),NºAsuntos!I13/NºAsuntos!G13," - ")</f>
        <v>6.7948717948717947</v>
      </c>
      <c r="D13" s="860">
        <f>IF(ISNUMBER('Resol  Asuntos'!D13/NºAsuntos!G13),'Resol  Asuntos'!D13/NºAsuntos!G13," - ")</f>
        <v>0.30128205128205127</v>
      </c>
      <c r="E13" s="861">
        <f>IF(ISNUMBER((NºAsuntos!C13+NºAsuntos!E13)/NºAsuntos!G13),(NºAsuntos!C13+NºAsuntos!E13)/NºAsuntos!G13," - ")</f>
        <v>7.799145299145299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1.1027777777777779</v>
      </c>
      <c r="C16" s="443">
        <f>IF(ISNUMBER(NºAsuntos!I16/NºAsuntos!G16),NºAsuntos!I16/NºAsuntos!G16," - ")</f>
        <v>2.8639798488664989</v>
      </c>
      <c r="D16" s="444">
        <f>IF(ISNUMBER('Resol  Asuntos'!D16/NºAsuntos!G16),'Resol  Asuntos'!D16/NºAsuntos!G16," - ")</f>
        <v>0.11083123425692695</v>
      </c>
      <c r="E16" s="445">
        <f>IF(ISNUMBER((NºAsuntos!C16+NºAsuntos!E16)/NºAsuntos!G16),(NºAsuntos!C16+NºAsuntos!E16)/NºAsuntos!G16," - ")</f>
        <v>3.8236775818639797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1.375</v>
      </c>
      <c r="D17" s="444">
        <f>IF(ISNUMBER('Resol  Asuntos'!D17/NºAsuntos!G17),'Resol  Asuntos'!D17/NºAsuntos!G17," - ")</f>
        <v>0.20833333333333334</v>
      </c>
      <c r="E17" s="445">
        <f>IF(ISNUMBER((NºAsuntos!C17+NºAsuntos!E17)/NºAsuntos!G17),(NºAsuntos!C17+NºAsuntos!E17)/NºAsuntos!G17," - ")</f>
        <v>2.375</v>
      </c>
      <c r="G17" s="463"/>
    </row>
    <row r="18" spans="1:7" ht="14.25" thickTop="1" thickBot="1">
      <c r="A18" s="848" t="str">
        <f>Datos!A18</f>
        <v>TOTAL</v>
      </c>
      <c r="B18" s="858">
        <f>IF(ISNUMBER(NºAsuntos!G18/NºAsuntos!E18),NºAsuntos!G18/NºAsuntos!E18," - ")</f>
        <v>1.0963541666666667</v>
      </c>
      <c r="C18" s="859">
        <f>IF(ISNUMBER(NºAsuntos!I18/NºAsuntos!G18),NºAsuntos!I18/NºAsuntos!G18," - ")</f>
        <v>2.7790973871733966</v>
      </c>
      <c r="D18" s="862">
        <f>IF(ISNUMBER('Resol  Asuntos'!D18/NºAsuntos!G18),'Resol  Asuntos'!D18/NºAsuntos!G18," - ")</f>
        <v>0.1163895486935867</v>
      </c>
      <c r="E18" s="861">
        <f>IF(ISNUMBER((NºAsuntos!C18+NºAsuntos!E18)/NºAsuntos!G18),(NºAsuntos!C18+NºAsuntos!E18)/NºAsuntos!G18," - ")</f>
        <v>3.7410926365795723</v>
      </c>
      <c r="G18" s="463"/>
    </row>
    <row r="19" spans="1:7" ht="15.75" customHeight="1" thickTop="1" thickBot="1">
      <c r="A19" s="793" t="str">
        <f>Datos!A19</f>
        <v>TOTAL JURISDICCIONES</v>
      </c>
      <c r="B19" s="808">
        <f>IF(ISNUMBER(NºAsuntos!G19/NºAsuntos!E19),NºAsuntos!G19/NºAsuntos!E19," - ")</f>
        <v>0.64654545454545453</v>
      </c>
      <c r="C19" s="809">
        <f>IF(ISNUMBER(NºAsuntos!I19/NºAsuntos!G19),NºAsuntos!I19/NºAsuntos!G19," - ")</f>
        <v>4.8931383577052872</v>
      </c>
      <c r="D19" s="810">
        <f>IF(ISNUMBER('Resol  Asuntos'!D19/NºAsuntos!G19),'Resol  Asuntos'!D19/NºAsuntos!G19," - ")</f>
        <v>0.21372328458942633</v>
      </c>
      <c r="E19" s="811">
        <f>IF(ISNUMBER((NºAsuntos!C19+NºAsuntos!E19)/NºAsuntos!G19),(NºAsuntos!C19+NºAsuntos!E19)/NºAsuntos!G19," - ")</f>
        <v>5.8773903262092242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MsSF9PLlOx+Egppio3iRWskTejxFBh4Qo22ysh1uMlhS2K+gjqt/jCGNnyccYC8G9wkW1p5RKv5j0Zx91FFwA==" saltValue="E0Y6k/yJTgTJWcXUIXAf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ALMANSA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30</v>
      </c>
      <c r="AB10" s="334">
        <f>IF(ISNUMBER(Datos!R10),Datos!R10," - ")</f>
        <v>0</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0.22222222222222221</v>
      </c>
      <c r="AM10" s="260">
        <f>IF(ISNUMBER(((NºAsuntos!I10/NºAsuntos!G10)*11)/factor_trimestre),((NºAsuntos!I10/NºAsuntos!G10)*11)/factor_trimestre," - ")</f>
        <v>15</v>
      </c>
      <c r="AN10" s="244">
        <f>IF(ISNUMBER('Resol  Asuntos'!D10/NºAsuntos!G10),'Resol  Asuntos'!D10/NºAsuntos!G10," - ")</f>
        <v>0.16666666666666666</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285</v>
      </c>
      <c r="Y12" s="334">
        <f t="shared" si="0"/>
        <v>285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140</v>
      </c>
      <c r="AJ12" s="229" t="str">
        <f>IF(ISNUMBER(Datos!BW12),Datos!BW12," - ")</f>
        <v xml:space="preserve"> - </v>
      </c>
      <c r="AK12" s="228" t="str">
        <f>IF(ISNUMBER(Datos!BX12),Datos!BX12," - ")</f>
        <v xml:space="preserve"> - </v>
      </c>
      <c r="AL12" s="243">
        <f>IF(ISNUMBER(NºAsuntos!G12/NºAsuntos!E12),NºAsuntos!G12/NºAsuntos!E12," - ")</f>
        <v>0.47925311203319504</v>
      </c>
      <c r="AM12" s="260">
        <f>IF(ISNUMBER(((NºAsuntos!I12/NºAsuntos!G12)*11)/factor_trimestre),((NºAsuntos!I12/NºAsuntos!G12)*11)/factor_trimestre," - ")</f>
        <v>20.454545454545457</v>
      </c>
      <c r="AN12" s="244">
        <f>IF(ISNUMBER('Resol  Asuntos'!D12/NºAsuntos!G12),'Resol  Asuntos'!D12/NºAsuntos!G12," - ")</f>
        <v>0.30303030303030304</v>
      </c>
      <c r="AO12" s="245">
        <f>IF(ISNUMBER((NºAsuntos!C12+NºAsuntos!E12)/NºAsuntos!G12),(NºAsuntos!C12+NºAsuntos!E12)/NºAsuntos!G12," - ")</f>
        <v>7.8225108225108224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285</v>
      </c>
      <c r="Y13" s="868">
        <f t="shared" si="4"/>
        <v>291</v>
      </c>
      <c r="Z13" s="868">
        <f t="shared" si="4"/>
        <v>0</v>
      </c>
      <c r="AA13" s="868">
        <f t="shared" si="4"/>
        <v>30</v>
      </c>
      <c r="AB13" s="868">
        <f t="shared" si="4"/>
        <v>2323</v>
      </c>
      <c r="AC13" s="868">
        <f t="shared" si="4"/>
        <v>30</v>
      </c>
      <c r="AD13" s="868">
        <f t="shared" si="4"/>
        <v>0</v>
      </c>
      <c r="AE13" s="872">
        <f t="shared" si="4"/>
        <v>0</v>
      </c>
      <c r="AF13" s="865">
        <f t="shared" si="4"/>
        <v>0</v>
      </c>
      <c r="AG13" s="873">
        <f t="shared" si="4"/>
        <v>0</v>
      </c>
      <c r="AH13" s="870">
        <f t="shared" si="4"/>
        <v>0</v>
      </c>
      <c r="AI13" s="865">
        <f t="shared" si="4"/>
        <v>141</v>
      </c>
      <c r="AJ13" s="867">
        <f t="shared" si="4"/>
        <v>0</v>
      </c>
      <c r="AK13" s="870">
        <f>SUBTOTAL(9,AK9:AK12)</f>
        <v>0</v>
      </c>
      <c r="AL13" s="874">
        <f>IF(ISNUMBER(NºAsuntos!G13/NºAsuntos!E13),NºAsuntos!G13/NºAsuntos!E13," - ")</f>
        <v>0.47225025227043388</v>
      </c>
      <c r="AM13" s="874">
        <f>IF(ISNUMBER(((NºAsuntos!I13/NºAsuntos!G13)*11)/factor_trimestre),((NºAsuntos!I13/NºAsuntos!G13)*11)/factor_trimestre," - ")</f>
        <v>20.384615384615383</v>
      </c>
      <c r="AN13" s="875">
        <f>IF(ISNUMBER('Resol  Asuntos'!D13/NºAsuntos!G13),'Resol  Asuntos'!D13/NºAsuntos!G13," - ")</f>
        <v>0.30128205128205127</v>
      </c>
      <c r="AO13" s="876">
        <f>IF(ISNUMBER((NºAsuntos!C13+NºAsuntos!E13)/NºAsuntos!G13),(NºAsuntos!C13+NºAsuntos!E13)/NºAsuntos!G13," - ")</f>
        <v>7.799145299145299</v>
      </c>
      <c r="AP13" s="877" t="str">
        <f t="shared" si="2"/>
        <v xml:space="preserve"> - </v>
      </c>
      <c r="AQ13" s="877">
        <f>IF(ISNUMBER((H13-W13+K13)/(F13)),(H13-W13+K13)/(F13)," - ")</f>
        <v>-0.66666666666666663</v>
      </c>
      <c r="AR13" s="878">
        <f>IF(ISNUMBER((Datos!P13-Datos!Q13)/(Datos!R13-Datos!P13+Datos!Q13)),(Datos!P13-Datos!Q13)/(Datos!R13-Datos!P13+Datos!Q13)," - ")</f>
        <v>-7.3763955342902712E-2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1174</v>
      </c>
      <c r="G16" s="333">
        <f>IF(ISNUMBER(IF(D_I="SI",Datos!I16,Datos!I16+Datos!AC16)),IF(D_I="SI",Datos!I16,Datos!I16+Datos!AC16)," - ")</f>
        <v>1158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397</v>
      </c>
      <c r="X16" s="226">
        <f>IF(ISNUMBER(Datos!Q16),Datos!Q16," - ")</f>
        <v>8</v>
      </c>
      <c r="Y16" s="334">
        <f t="shared" ref="Y16:Y17" si="7">SUM(W16:X16)</f>
        <v>405</v>
      </c>
      <c r="Z16" s="335" t="str">
        <f>IF(ISNUMBER(Datos!CC16),Datos!CC16," - ")</f>
        <v xml:space="preserve"> - </v>
      </c>
      <c r="AA16" s="332">
        <f>IF(ISNUMBER(IF(D_I="SI",Datos!L16,Datos!L16+Datos!AF16)),IF(D_I="SI",Datos!L16,Datos!L16+Datos!AF16)," - ")</f>
        <v>1137</v>
      </c>
      <c r="AB16" s="334">
        <f>IF(ISNUMBER(Datos!R16),Datos!R16," - ")</f>
        <v>99</v>
      </c>
      <c r="AC16" s="334">
        <f t="shared" si="6"/>
        <v>1236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1.1027777777777779</v>
      </c>
      <c r="AM16" s="260">
        <f>IF(ISNUMBER(((NºAsuntos!I16/NºAsuntos!G16)*11)/factor_trimestre),((NºAsuntos!I16/NºAsuntos!G16)*11)/factor_trimestre," - ")</f>
        <v>8.5919395465994981</v>
      </c>
      <c r="AN16" s="244">
        <f>IF(ISNUMBER('Resol  Asuntos'!D16/NºAsuntos!G16),'Resol  Asuntos'!D16/NºAsuntos!G16," - ")</f>
        <v>0.11083123425692695</v>
      </c>
      <c r="AO16" s="245">
        <f>IF(ISNUMBER((NºAsuntos!C16+NºAsuntos!E16)/NºAsuntos!G16),(NºAsuntos!C16+NºAsuntos!E16)/NºAsuntos!G16," - ")</f>
        <v>3.8236775818639797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4.125</v>
      </c>
      <c r="AN17" s="244">
        <f>IF(ISNUMBER('Resol  Asuntos'!D17/NºAsuntos!G17),'Resol  Asuntos'!D17/NºAsuntos!G17," - ")</f>
        <v>0.20833333333333334</v>
      </c>
      <c r="AO17" s="245">
        <f>IF(ISNUMBER((NºAsuntos!C17+NºAsuntos!E17)/NºAsuntos!G17),(NºAsuntos!C17+NºAsuntos!E17)/NºAsuntos!G17," - ")</f>
        <v>2.375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1174</v>
      </c>
      <c r="G18" s="866">
        <f>SUBTOTAL(9,G15:G17)</f>
        <v>1191</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421</v>
      </c>
      <c r="X18" s="867">
        <f t="shared" si="11"/>
        <v>8</v>
      </c>
      <c r="Y18" s="868">
        <f t="shared" si="11"/>
        <v>429</v>
      </c>
      <c r="Z18" s="868">
        <f t="shared" si="11"/>
        <v>0</v>
      </c>
      <c r="AA18" s="868">
        <f t="shared" si="11"/>
        <v>1170</v>
      </c>
      <c r="AB18" s="868">
        <f t="shared" si="11"/>
        <v>99</v>
      </c>
      <c r="AC18" s="868">
        <f t="shared" si="11"/>
        <v>1269</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1.0963541666666667</v>
      </c>
      <c r="AM18" s="874">
        <f>IF(ISNUMBER(((NºAsuntos!I18/NºAsuntos!G18)*11)/factor_trimestre),((NºAsuntos!I18/NºAsuntos!G18)*11)/factor_trimestre," - ")</f>
        <v>8.3372921615201907</v>
      </c>
      <c r="AN18" s="875">
        <f>IF(ISNUMBER('Resol  Asuntos'!D18/NºAsuntos!G18),'Resol  Asuntos'!D18/NºAsuntos!G18," - ")</f>
        <v>0.1163895486935867</v>
      </c>
      <c r="AO18" s="876">
        <f>IF(ISNUMBER((NºAsuntos!C18+NºAsuntos!E18)/NºAsuntos!G18),(NºAsuntos!C18+NºAsuntos!E18)/NºAsuntos!G18," - ")</f>
        <v>3.7410926365795723</v>
      </c>
      <c r="AP18" s="877" t="str">
        <f t="shared" si="2"/>
        <v xml:space="preserve"> - </v>
      </c>
      <c r="AQ18" s="877">
        <f>IF(ISNUMBER((H18-W18+K18)/(F18)),(H18-W18+K18)/(F18)," - ")</f>
        <v>-0.358603066439523</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1183</v>
      </c>
      <c r="G19" s="821">
        <f t="shared" si="13"/>
        <v>1200</v>
      </c>
      <c r="H19" s="820">
        <f t="shared" si="13"/>
        <v>0</v>
      </c>
      <c r="I19" s="822">
        <f t="shared" si="13"/>
        <v>0</v>
      </c>
      <c r="J19" s="822">
        <f t="shared" si="13"/>
        <v>0</v>
      </c>
      <c r="K19" s="881">
        <f t="shared" si="13"/>
        <v>0</v>
      </c>
      <c r="L19" s="822">
        <f t="shared" si="13"/>
        <v>119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427</v>
      </c>
      <c r="X19" s="821">
        <f t="shared" si="14"/>
        <v>293</v>
      </c>
      <c r="Y19" s="828">
        <f t="shared" si="14"/>
        <v>720</v>
      </c>
      <c r="Z19" s="828">
        <f t="shared" si="14"/>
        <v>0</v>
      </c>
      <c r="AA19" s="828">
        <f t="shared" si="14"/>
        <v>1200</v>
      </c>
      <c r="AB19" s="828">
        <f t="shared" si="14"/>
        <v>2422</v>
      </c>
      <c r="AC19" s="828">
        <f t="shared" si="14"/>
        <v>1299</v>
      </c>
      <c r="AD19" s="828">
        <f t="shared" si="14"/>
        <v>0</v>
      </c>
      <c r="AE19" s="830">
        <f t="shared" si="14"/>
        <v>0</v>
      </c>
      <c r="AF19" s="831">
        <f t="shared" si="14"/>
        <v>0</v>
      </c>
      <c r="AG19" s="832">
        <f t="shared" si="14"/>
        <v>0</v>
      </c>
      <c r="AH19" s="830">
        <f t="shared" si="14"/>
        <v>0</v>
      </c>
      <c r="AI19" s="820">
        <f t="shared" si="14"/>
        <v>190</v>
      </c>
      <c r="AJ19" s="820">
        <f t="shared" si="14"/>
        <v>0</v>
      </c>
      <c r="AK19" s="830">
        <f t="shared" si="14"/>
        <v>0</v>
      </c>
      <c r="AL19" s="884">
        <f>IF(ISNUMBER(NºAsuntos!G19/NºAsuntos!E19),NºAsuntos!G19/NºAsuntos!E19," - ")</f>
        <v>0.64654545454545453</v>
      </c>
      <c r="AM19" s="885">
        <f>IF(ISNUMBER(((NºAsuntos!I19/NºAsuntos!G19)*11)/factor_trimestre),((NºAsuntos!I19/NºAsuntos!G19)*11)/factor_trimestre," - ")</f>
        <v>14.679415073115862</v>
      </c>
      <c r="AN19" s="885">
        <f>IF(ISNUMBER('Resol  Asuntos'!D19/NºAsuntos!G19),'Resol  Asuntos'!D19/NºAsuntos!G19," - ")</f>
        <v>0.21372328458942633</v>
      </c>
      <c r="AO19" s="886">
        <f>IF(ISNUMBER((NºAsuntos!C19+NºAsuntos!E19)/NºAsuntos!G19),(NºAsuntos!C19+NºAsuntos!E19)/NºAsuntos!G19," - ")</f>
        <v>5.8773903262092242</v>
      </c>
      <c r="AP19" s="887" t="str">
        <f t="shared" si="2"/>
        <v xml:space="preserve"> - </v>
      </c>
      <c r="AQ19" s="888">
        <f>IF(OR(ISNUMBER(FIND("01",Criterios!A8,1)),ISNUMBER(FIND("02",Criterios!A8,1)),ISNUMBER(FIND("03",Criterios!A8,1)),ISNUMBER(FIND("04",Criterios!A8,1))),(I19-W19+K19)/(F19-K19),(H19-W19+K19)/(F19-K19))</f>
        <v>-0.36094674556213019</v>
      </c>
      <c r="AR19" s="889">
        <f>IF(ISNUMBER((Datos!P19-Datos!Q19)/(Datos!R19-Datos!P19+Datos!Q19)),(Datos!P19-Datos!Q19)/(Datos!R19-Datos!P19+Datos!Q19)," - ")</f>
        <v>-6.7026194144838208E-2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672.61306360591402</v>
      </c>
      <c r="G21" s="253">
        <f>IF(ISNUMBER(STDEV(G8:G18)),STDEV(G8:G18),"-")</f>
        <v>634.17190098584467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217.73538986577262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62.892500877820609</v>
      </c>
      <c r="AJ21" s="252">
        <f t="shared" si="18"/>
        <v>0</v>
      </c>
      <c r="AK21" s="254">
        <f t="shared" si="18"/>
        <v>0</v>
      </c>
      <c r="AL21" s="249">
        <f t="shared" si="18"/>
        <v>0.38294055686132017</v>
      </c>
      <c r="AM21" s="250">
        <f t="shared" si="18"/>
        <v>6.8386572071526022</v>
      </c>
      <c r="AN21" s="250">
        <f t="shared" si="18"/>
        <v>8.6009901191309635E-2</v>
      </c>
      <c r="AO21" s="251">
        <f t="shared" si="18"/>
        <v>2.2914906455875097</v>
      </c>
      <c r="AP21" s="291" t="str">
        <f t="shared" si="18"/>
        <v>-</v>
      </c>
      <c r="AQ21" s="292">
        <f t="shared" si="18"/>
        <v>0.21783386075735459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2QpLabv6HxrdEKcUMUvyPvQwyKMqxzuL7rQ686ZbhNlE4Gap5YHJ8d1sShpYZa5yR0D+yq4pikN1uChHzXCw==" saltValue="TjyT6XBq7d9u8wAbTbswa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ALMANSA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8</v>
      </c>
      <c r="F10" s="348" t="str">
        <f>IF(ISNUMBER((Datos!K10-Datos!U10)/Datos!U10),(Datos!K10-Datos!U10)/Datos!U10," - ")</f>
        <v xml:space="preserve"> - </v>
      </c>
      <c r="G10" s="349">
        <f>IF(ISNUMBER((Datos!L10-Datos!V10)/Datos!V10),(Datos!L10-Datos!V10)/Datos!V10," - ")</f>
        <v>1.5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0.38613861386138615</v>
      </c>
      <c r="I12" s="350">
        <f>IF(ISNUMBER((Tasas!C12-Datos!BE12)/Datos!BE12),(Tasas!C12-Datos!BE12)/Datos!BE12," - ")</f>
        <v>0.23966942148760334</v>
      </c>
      <c r="J12" s="349">
        <f>IF(ISNUMBER((Tasas!D12-Datos!BF12)/Datos!BF12),(Tasas!D12-Datos!BF12)/Datos!BF12," - ")</f>
        <v>-3.8317054845980497E-2</v>
      </c>
      <c r="K12" s="351">
        <f>IF(ISNUMBER((Tasas!E12-Datos!BG12)/Datos!BG12),(Tasas!E12-Datos!BG12)/Datos!BG12," - ")</f>
        <v>0.18494838494838495</v>
      </c>
      <c r="M12" t="e">
        <f>IF(Monitorios="SI",Datos!CE12,0)</f>
        <v>#REF!</v>
      </c>
      <c r="N12" t="e">
        <f>IF(Monitorios="SI",Datos!CF12,0)</f>
        <v>#REF!</v>
      </c>
      <c r="O12" t="e">
        <f>IF(Monitorios="SI",Datos!CG12,0)</f>
        <v>#REF!</v>
      </c>
      <c r="P12" t="e">
        <f>IF(Monitorios="SI",Datos!CH12,0)</f>
        <v>#REF!</v>
      </c>
      <c r="Q12">
        <f>IF(J_V="SI",0,Datos!AG12)</f>
        <v>67</v>
      </c>
      <c r="R12">
        <f>IF(J_V="SI",0,Datos!AH12)</f>
        <v>25</v>
      </c>
      <c r="S12">
        <f>IF(J_V="SI",0,Datos!AI12)</f>
        <v>34</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0.39603960396039606</v>
      </c>
      <c r="I13" s="357">
        <f>IF(ISNUMBER((Tasas!C13-Datos!BE13)/Datos!BE13),(Tasas!C13-Datos!BE13)/Datos!BE13," - ")</f>
        <v>0.22845139794292335</v>
      </c>
      <c r="J13" s="355">
        <f>IF(ISNUMBER((Tasas!D13-Datos!BF13)/Datos!BF13),(Tasas!D13-Datos!BF13)/Datos!BF13," - ")</f>
        <v>-4.3865225683407609E-2</v>
      </c>
      <c r="K13" s="358">
        <f>IF(ISNUMBER((Tasas!E13-Datos!BG13)/Datos!BG13),(Tasas!E13-Datos!BG13)/Datos!BG13," - ")</f>
        <v>0.17584287195594614</v>
      </c>
      <c r="M13" t="e">
        <f>IF(Monitorios="SI",Datos!CE13,0)</f>
        <v>#REF!</v>
      </c>
      <c r="N13" t="e">
        <f>IF(Monitorios="SI",Datos!CF13,0)</f>
        <v>#REF!</v>
      </c>
      <c r="O13" t="e">
        <f>IF(Monitorios="SI",Datos!CG13,0)</f>
        <v>#REF!</v>
      </c>
      <c r="P13" t="e">
        <f>IF(Monitorios="SI",Datos!CH13,0)</f>
        <v>#REF!</v>
      </c>
      <c r="Q13">
        <f>IF(J_V="SI",0,Datos!AG13)</f>
        <v>67</v>
      </c>
      <c r="R13">
        <f>IF(J_V="SI",0,Datos!AH13)</f>
        <v>25</v>
      </c>
      <c r="S13">
        <f>IF(J_V="SI",0,Datos!AI13)</f>
        <v>34</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0.18042813455657492</v>
      </c>
      <c r="E16" s="348">
        <f>IF(ISNUMBER(
   IF(D_I="SI",(Datos!J16-Datos!T16)/Datos!T16,(Datos!J16+Datos!AD16-(Datos!T16+Datos!AL16))/(Datos!T16+Datos!AL16))
     ),IF(D_I="SI",(Datos!J16-Datos!T16)/Datos!T16,(Datos!J16+Datos!AD16-(Datos!T16+Datos!AL16))/(Datos!T16+Datos!AL16))," - ")</f>
        <v>-8.1632653061224483E-2</v>
      </c>
      <c r="F16" s="348">
        <f>IF(ISNUMBER(
   IF(D_I="SI",(Datos!K16-Datos!U16)/Datos!U16,(Datos!K16+Datos!AE16-(Datos!U16+Datos!AM16))/(Datos!U16+Datos!AM16))
     ),IF(D_I="SI",(Datos!K16-Datos!U16)/Datos!U16,(Datos!K16+Datos!AE16-(Datos!U16+Datos!AM16))/(Datos!U16+Datos!AM16))," - ")</f>
        <v>0.19219219219219219</v>
      </c>
      <c r="G16" s="349">
        <f>IF(ISNUMBER(
   IF(D_I="SI",(Datos!L16-Datos!V16)/Datos!V16,(Datos!L16+Datos!AF16-(Datos!V16+Datos!AN16))/(Datos!V16+Datos!AN16))
     ),IF(D_I="SI",(Datos!L16-Datos!V16)/Datos!V16,(Datos!L16+Datos!AF16-(Datos!V16+Datos!AN16))/(Datos!V16+Datos!AN16))," - ")</f>
        <v>9.2219020172910657E-2</v>
      </c>
      <c r="H16" s="230">
        <f>IF(ISNUMBER((Datos!M16-Datos!W16)/Datos!W16),(Datos!M16-Datos!W16)/Datos!W16," - ")</f>
        <v>0.22222222222222221</v>
      </c>
      <c r="I16" s="350">
        <f>IF(ISNUMBER((Tasas!C16-Datos!BE16)/Datos!BE16),(Tasas!C16-Datos!BE16)/Datos!BE16," - ")</f>
        <v>-8.385659013204215E-2</v>
      </c>
      <c r="J16" s="349">
        <f>IF(ISNUMBER((Tasas!D16-Datos!BF16)/Datos!BF16),(Tasas!D16-Datos!BF16)/Datos!BF16," - ")</f>
        <v>2.5188916876574256E-2</v>
      </c>
      <c r="K16" s="351">
        <f>IF(ISNUMBER((Tasas!E16-Datos!BG16)/Datos!BG16),(Tasas!E16-Datos!BG16)/Datos!BG16," - ")</f>
        <v>-7.262590330611414E-2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-5.7142857142857141E-2</v>
      </c>
      <c r="E17" s="348">
        <f>IF(ISNUMBER(
   IF(D_I="SI",(Datos!J17-Datos!T17)/Datos!T17,(Datos!J17+Datos!AD17-(Datos!T17+Datos!AL17))/(Datos!T17+Datos!AL17))
     ),IF(D_I="SI",(Datos!J17-Datos!T17)/Datos!T17,(Datos!J17+Datos!AD17-(Datos!T17+Datos!AL17))/(Datos!T17+Datos!AL17))," - ")</f>
        <v>0.7142857142857143</v>
      </c>
      <c r="F17" s="348">
        <f>IF(ISNUMBER(
   IF(D_I="SI",(Datos!K17-Datos!U17)/Datos!U17,(Datos!K17+Datos!AE17-(Datos!U17+Datos!AM17))/(Datos!U17+Datos!AM17))
     ),IF(D_I="SI",(Datos!K17-Datos!U17)/Datos!U17,(Datos!K17+Datos!AE17-(Datos!U17+Datos!AM17))/(Datos!U17+Datos!AM17))," - ")</f>
        <v>1.1818181818181819</v>
      </c>
      <c r="G17" s="349">
        <f>IF(ISNUMBER(
   IF(D_I="SI",(Datos!L17-Datos!V17)/Datos!V17,(Datos!L17+Datos!AF17-(Datos!V17+Datos!AN17))/(Datos!V17+Datos!AN17))
     ),IF(D_I="SI",(Datos!L17-Datos!V17)/Datos!V17,(Datos!L17+Datos!AF17-(Datos!V17+Datos!AN17))/(Datos!V17+Datos!AN17))," - ")</f>
        <v>-0.13157894736842105</v>
      </c>
      <c r="H17" s="230">
        <f>IF(ISNUMBER((Datos!M17-Datos!W17)/Datos!W17),(Datos!M17-Datos!W17)/Datos!W17," - ")</f>
        <v>1.5</v>
      </c>
      <c r="I17" s="350">
        <f>IF(ISNUMBER((Tasas!C17-Datos!BE17)/Datos!BE17),(Tasas!C17-Datos!BE17)/Datos!BE17," - ")</f>
        <v>-0.60197368421052633</v>
      </c>
      <c r="J17" s="349">
        <f>IF(ISNUMBER((Tasas!D17-Datos!BF17)/Datos!BF17),(Tasas!D17-Datos!BF17)/Datos!BF17," - ")</f>
        <v>0.14583333333333334</v>
      </c>
      <c r="K17" s="351">
        <f>IF(ISNUMBER((Tasas!E17-Datos!BG17)/Datos!BG17),(Tasas!E17-Datos!BG17)/Datos!BG17," - ")</f>
        <v>-0.46683673469387749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0.17224409448818898</v>
      </c>
      <c r="E18" s="354">
        <f>IF(ISNUMBER(
   IF(D_I="SI",(Datos!J18-Datos!T18)/Datos!T18,(Datos!J18+Datos!AD18-(Datos!T18+Datos!AL18))/(Datos!T18+Datos!AL18))
     ),IF(D_I="SI",(Datos!J18-Datos!T18)/Datos!T18,(Datos!J18+Datos!AD18-(Datos!T18+Datos!AL18))/(Datos!T18+Datos!AL18))," - ")</f>
        <v>-5.4187192118226604E-2</v>
      </c>
      <c r="F18" s="354">
        <f>IF(ISNUMBER(
   IF(D_I="SI",(Datos!K18-Datos!U18)/Datos!U18,(Datos!K18+Datos!AE18-(Datos!U18+Datos!AM18))/(Datos!U18+Datos!AM18))
     ),IF(D_I="SI",(Datos!K18-Datos!U18)/Datos!U18,(Datos!K18+Datos!AE18-(Datos!U18+Datos!AM18))/(Datos!U18+Datos!AM18))," - ")</f>
        <v>0.22383720930232559</v>
      </c>
      <c r="G18" s="355">
        <f>IF(ISNUMBER(
   IF(D_I="SI",(Datos!L18-Datos!V18)/Datos!V18,(Datos!L18+Datos!AF18-(Datos!V18+Datos!AN18))/(Datos!V18+Datos!AN18))
     ),IF(D_I="SI",(Datos!L18-Datos!V18)/Datos!V18,(Datos!L18+Datos!AF18-(Datos!V18+Datos!AN18))/(Datos!V18+Datos!AN18))," - ")</f>
        <v>8.4337349397590355E-2</v>
      </c>
      <c r="H18" s="356">
        <f>IF(ISNUMBER((Datos!M18-Datos!W18)/Datos!W18),(Datos!M18-Datos!W18)/Datos!W18," - ")</f>
        <v>0.28947368421052633</v>
      </c>
      <c r="I18" s="357">
        <f>IF(ISNUMBER((Tasas!C18-Datos!BE18)/Datos!BE18),(Tasas!C18-Datos!BE18)/Datos!BE18," - ")</f>
        <v>-0.113985633746387</v>
      </c>
      <c r="J18" s="355">
        <f>IF(ISNUMBER((Tasas!D18-Datos!BF18)/Datos!BF18),(Tasas!D18-Datos!BF18)/Datos!BF18," - ")</f>
        <v>5.3631703962995346E-2</v>
      </c>
      <c r="K18" s="358">
        <f>IF(ISNUMBER((Tasas!E18-Datos!BG18)/Datos!BG18),(Tasas!E18-Datos!BG18)/Datos!BG18," - ")</f>
        <v>-9.4981809435040143E-2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0.24555160142348753</v>
      </c>
      <c r="E19" s="363">
        <f>IF(ISNUMBER(
   IF(J_V="SI",(Datos!J19-Datos!T19)/Datos!T19,(Datos!J19+Datos!Z19-(Datos!T19+Datos!AH19))/(Datos!T19+Datos!AH19))
     ),IF(J_V="SI",(Datos!J19-Datos!T19)/Datos!T19,(Datos!J19+Datos!Z19-(Datos!T19+Datos!AH19))/(Datos!T19+Datos!AH19))," - ")</f>
        <v>0.56605922551252852</v>
      </c>
      <c r="F19" s="363">
        <f>IF(ISNUMBER(
   IF(J_V="SI",(Datos!K19-Datos!U19)/Datos!U19,(Datos!K19+Datos!AA19-(Datos!U19+Datos!AI19))/(Datos!U19+Datos!AI19))
     ),IF(J_V="SI",(Datos!K19-Datos!U19)/Datos!U19,(Datos!K19+Datos!AA19-(Datos!U19+Datos!AI19))/(Datos!U19+Datos!AI19))," - ")</f>
        <v>0.22115384615384615</v>
      </c>
      <c r="G19" s="364">
        <f>IF(ISNUMBER(
   IF(J_V="SI",(Datos!L19-Datos!V19)/Datos!V19,(Datos!L19+Datos!AB19-(Datos!V19+Datos!AJ19))/(Datos!V19+Datos!AJ19))
     ),IF(J_V="SI",(Datos!L19-Datos!V19)/Datos!V19,(Datos!L19+Datos!AB19-(Datos!V19+Datos!AJ19))/(Datos!V19+Datos!AJ19))," - ")</f>
        <v>0.35810177958164219</v>
      </c>
      <c r="H19" s="365">
        <f>IF(ISNUMBER((Datos!M19-Datos!W19)/Datos!W19),(Datos!M19-Datos!W19)/Datos!W19," - ")</f>
        <v>0.36690647482014388</v>
      </c>
      <c r="I19" s="362">
        <f>IF(ISNUMBER((Tasas!C19-Datos!BE19)/Datos!BE19),(Tasas!C19-Datos!BE19)/Datos!BE19," - ")</f>
        <v>0.11214633918496694</v>
      </c>
      <c r="J19" s="363">
        <f>IF(ISNUMBER((Tasas!D19-Datos!BF19)/Datos!BF19),(Tasas!D19-Datos!BF19)/Datos!BF19," - ")</f>
        <v>-2.1443074332689528E-2</v>
      </c>
      <c r="K19" s="364">
        <f>IF(ISNUMBER((Tasas!E19-Datos!BG19)/Datos!BG19),(Tasas!E19-Datos!BG19)/Datos!BG19," - ")</f>
        <v>7.8039848193579092E-2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0.12062786236173738</v>
      </c>
      <c r="E21" s="278">
        <f t="shared" si="1"/>
        <v>3.9209813846626398</v>
      </c>
      <c r="F21" s="278">
        <f t="shared" si="1"/>
        <v>0.56244830135067325</v>
      </c>
      <c r="G21" s="279">
        <f t="shared" si="1"/>
        <v>0.7497091317742498</v>
      </c>
      <c r="H21" s="285">
        <f t="shared" si="1"/>
        <v>0.53103239131052393</v>
      </c>
      <c r="I21" s="277">
        <f t="shared" si="1"/>
        <v>0.34279152386741824</v>
      </c>
      <c r="J21" s="278">
        <f t="shared" si="1"/>
        <v>7.7638459336642193E-2</v>
      </c>
      <c r="K21" s="279">
        <f t="shared" si="1"/>
        <v>0.26569814159560373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9FfjyPLD+03yfnXoa4dwD8stiNEj4RSJbqskjDz84dZACSfNwNJFie79Lfdsemq+kFMp3CFEaEmlHeSBb8nNA==" saltValue="zxHRnCuv2EDRRCDArPdp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27</v>
      </c>
      <c r="F10" s="226">
        <f>IF(ISNUMBER(Datos!K10),Datos!K10," - ")</f>
        <v>6</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2.3333333333333335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27</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1174</v>
      </c>
      <c r="D16" s="225">
        <f>IF(ISNUMBER(IF(D_I="SI",Datos!I16,Datos!I16+Datos!AC16)),IF(D_I="SI",Datos!I16,Datos!I16+Datos!AC16)," - ")</f>
        <v>1158</v>
      </c>
      <c r="E16" s="226">
        <f>IF(ISNUMBER(IF(D_I="SI",Datos!J16,Datos!J16+Datos!AD16)),IF(D_I="SI",Datos!J16,Datos!J16+Datos!AD16)," - ")</f>
        <v>360</v>
      </c>
      <c r="F16" s="226">
        <f>IF(ISNUMBER(IF(D_I="SI",Datos!K16,Datos!K16+Datos!AE16)),IF(D_I="SI",Datos!K16,Datos!K16+Datos!AE16)," - ")</f>
        <v>397</v>
      </c>
      <c r="G16" s="1034" t="str">
        <f>IF(Datos!E16&lt;&gt;"",Datos!E16,Datos!D16)</f>
        <v>04</v>
      </c>
      <c r="H16" s="227">
        <f>IF(ISNUMBER(IF(D_I="SI",Datos!L16,Datos!L16+Datos!AF16)),IF(D_I="SI",Datos!L16,Datos!L16+Datos!AF16)," - ")</f>
        <v>1137</v>
      </c>
      <c r="I16" s="1044" t="str">
        <f>IF(ISNUMBER(Datos!AS16/Datos!BM16),Datos!AS16/Datos!BM16," - ")</f>
        <v xml:space="preserve"> - </v>
      </c>
      <c r="J16" s="1045">
        <f>IF(ISNUMBER(Datos!BY16/Datos!CN16),Datos!BY16/Datos!CN16," - ")</f>
        <v>0</v>
      </c>
      <c r="K16" s="230">
        <f t="shared" si="3"/>
        <v>-3.1516183986371377E-2</v>
      </c>
      <c r="L16" s="1025">
        <f>IF(ISNUMBER(NºAsuntos!I16/NºAsuntos!G16),(NºAsuntos!I16/NºAsuntos!G16)*11," - ")</f>
        <v>31.503778337531489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24</v>
      </c>
      <c r="F17" s="226">
        <f>IF(ISNUMBER(IF(D_I="SI",Datos!K17,Datos!K17+Datos!AE17)),IF(D_I="SI",Datos!K17,Datos!K17+Datos!AE17)," - ")</f>
        <v>24</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15.125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1207</v>
      </c>
      <c r="D18" s="1049">
        <f>SUBTOTAL(9,D15:D17)</f>
        <v>1191</v>
      </c>
      <c r="E18" s="1050">
        <f>SUBTOTAL(9,E15:E17)</f>
        <v>384</v>
      </c>
      <c r="F18" s="1050">
        <f>SUBTOTAL(9,F15:F17)</f>
        <v>421</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1216</v>
      </c>
      <c r="D19" s="1071">
        <f>SUBTOTAL(9,D9:D18)</f>
        <v>1200</v>
      </c>
      <c r="E19" s="1072">
        <f>SUBTOTAL(9,E9:E18)</f>
        <v>411</v>
      </c>
      <c r="F19" s="1072">
        <f>SUBTOTAL(9,F9:F18)</f>
        <v>427</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nfjKsBo4RlhFNCec7zu8LHA6jYsziHGxYu+9kUdT9RsTg6PRjn7MrAgoJOd40wQrhgW6T4T9aiIzn6aRZJYiw==" saltValue="4ahI+gwFYHguXEpbnmvt/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9/2KnvNSwpmF9sdPKoXyV9SZM2oKW+mBIXSehm+AHuth/uo0VLnmMps2y2tm07PtoG9dOtio3M3sm9tpkhL+A==" saltValue="kOQvH04gJebKPOwZwEGX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27</v>
      </c>
      <c r="K10" s="181">
        <v>6</v>
      </c>
      <c r="L10" s="181">
        <v>30</v>
      </c>
      <c r="M10" s="181">
        <v>1</v>
      </c>
      <c r="N10" s="181">
        <v>0</v>
      </c>
      <c r="O10" s="181">
        <v>0</v>
      </c>
      <c r="P10" s="181">
        <v>0</v>
      </c>
      <c r="Q10" s="181">
        <v>0</v>
      </c>
      <c r="R10" s="181">
        <v>0</v>
      </c>
      <c r="S10" s="181">
        <v>9</v>
      </c>
      <c r="T10" s="181">
        <v>3</v>
      </c>
      <c r="U10" s="181">
        <v>0</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3</v>
      </c>
      <c r="BA10" s="129">
        <f t="shared" si="0"/>
        <v>0</v>
      </c>
      <c r="BB10" s="129">
        <f t="shared" si="0"/>
        <v>12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2608</v>
      </c>
      <c r="J12" s="183">
        <v>943</v>
      </c>
      <c r="K12" s="183">
        <v>439</v>
      </c>
      <c r="L12" s="183">
        <v>3110</v>
      </c>
      <c r="M12" s="183">
        <v>140</v>
      </c>
      <c r="N12" s="183">
        <v>21</v>
      </c>
      <c r="O12" s="181">
        <v>168</v>
      </c>
      <c r="P12" s="183">
        <v>100</v>
      </c>
      <c r="Q12" s="183">
        <v>285</v>
      </c>
      <c r="R12" s="183">
        <v>2323</v>
      </c>
      <c r="S12" s="183">
        <v>1999</v>
      </c>
      <c r="T12" s="183">
        <v>444</v>
      </c>
      <c r="U12" s="183">
        <v>350</v>
      </c>
      <c r="V12" s="183">
        <v>2062</v>
      </c>
      <c r="W12" s="183">
        <v>101</v>
      </c>
      <c r="X12" s="189">
        <v>121</v>
      </c>
      <c r="Y12" s="191">
        <v>42</v>
      </c>
      <c r="Z12" s="181">
        <v>21</v>
      </c>
      <c r="AA12" s="181">
        <v>23</v>
      </c>
      <c r="AB12" s="181">
        <v>40</v>
      </c>
      <c r="AC12" s="183">
        <v>0</v>
      </c>
      <c r="AD12" s="183">
        <v>0</v>
      </c>
      <c r="AE12" s="183">
        <v>0</v>
      </c>
      <c r="AF12" s="189">
        <v>0</v>
      </c>
      <c r="AG12" s="202">
        <v>67</v>
      </c>
      <c r="AH12" s="183">
        <v>25</v>
      </c>
      <c r="AI12" s="183">
        <v>34</v>
      </c>
      <c r="AJ12" s="203">
        <v>50</v>
      </c>
      <c r="AK12" s="182">
        <v>0</v>
      </c>
      <c r="AL12" s="183">
        <v>0</v>
      </c>
      <c r="AM12" s="183">
        <v>0</v>
      </c>
      <c r="AN12" s="189">
        <v>0</v>
      </c>
      <c r="AO12" s="259">
        <v>2</v>
      </c>
      <c r="AP12" s="155">
        <v>2</v>
      </c>
      <c r="AQ12" s="155">
        <v>2</v>
      </c>
      <c r="AR12" s="154">
        <v>2</v>
      </c>
      <c r="AS12" s="340" t="s">
        <v>801</v>
      </c>
      <c r="AT12" s="203"/>
      <c r="AU12" s="202"/>
      <c r="AV12" s="203"/>
      <c r="AW12" s="202"/>
      <c r="AX12" s="203"/>
      <c r="AY12" s="126">
        <f t="shared" si="1"/>
        <v>2066</v>
      </c>
      <c r="AZ12" s="127">
        <f t="shared" si="1"/>
        <v>469</v>
      </c>
      <c r="BA12" s="127">
        <f t="shared" si="1"/>
        <v>384</v>
      </c>
      <c r="BB12" s="127">
        <f t="shared" si="1"/>
        <v>2112</v>
      </c>
      <c r="BC12" s="125">
        <f>IF(ISNUMBER(X12),X12," - ")</f>
        <v>121</v>
      </c>
      <c r="BD12" s="126">
        <f t="shared" si="2"/>
        <v>0.81876332622601278</v>
      </c>
      <c r="BE12" s="127">
        <f t="shared" si="3"/>
        <v>5.5</v>
      </c>
      <c r="BF12" s="127">
        <f t="shared" si="4"/>
        <v>0.31510416666666669</v>
      </c>
      <c r="BG12" s="196">
        <f t="shared" si="5"/>
        <v>6.6015625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2617</v>
      </c>
      <c r="J13" s="184">
        <f t="shared" si="6"/>
        <v>970</v>
      </c>
      <c r="K13" s="184">
        <f t="shared" si="6"/>
        <v>445</v>
      </c>
      <c r="L13" s="184">
        <f t="shared" si="6"/>
        <v>3140</v>
      </c>
      <c r="M13" s="184">
        <f t="shared" si="6"/>
        <v>141</v>
      </c>
      <c r="N13" s="184">
        <f t="shared" si="6"/>
        <v>21</v>
      </c>
      <c r="O13" s="184">
        <f t="shared" si="6"/>
        <v>168</v>
      </c>
      <c r="P13" s="184">
        <f t="shared" si="6"/>
        <v>100</v>
      </c>
      <c r="Q13" s="184">
        <f t="shared" si="6"/>
        <v>285</v>
      </c>
      <c r="R13" s="184">
        <f t="shared" si="6"/>
        <v>2323</v>
      </c>
      <c r="S13" s="184">
        <f t="shared" si="6"/>
        <v>2008</v>
      </c>
      <c r="T13" s="184">
        <f t="shared" si="6"/>
        <v>447</v>
      </c>
      <c r="U13" s="184">
        <f t="shared" si="6"/>
        <v>350</v>
      </c>
      <c r="V13" s="184">
        <f t="shared" si="6"/>
        <v>2074</v>
      </c>
      <c r="W13" s="184">
        <f t="shared" si="6"/>
        <v>101</v>
      </c>
      <c r="X13" s="184">
        <f t="shared" si="6"/>
        <v>121</v>
      </c>
      <c r="Y13" s="184">
        <f t="shared" si="6"/>
        <v>42</v>
      </c>
      <c r="Z13" s="184">
        <f t="shared" si="6"/>
        <v>21</v>
      </c>
      <c r="AA13" s="184">
        <f t="shared" si="6"/>
        <v>23</v>
      </c>
      <c r="AB13" s="184">
        <f t="shared" si="6"/>
        <v>40</v>
      </c>
      <c r="AC13" s="184">
        <f t="shared" si="6"/>
        <v>0</v>
      </c>
      <c r="AD13" s="184">
        <f t="shared" si="6"/>
        <v>0</v>
      </c>
      <c r="AE13" s="184">
        <f t="shared" si="6"/>
        <v>0</v>
      </c>
      <c r="AF13" s="184">
        <f>SUBTOTAL(9,AF9:AF12)</f>
        <v>0</v>
      </c>
      <c r="AG13" s="184">
        <f t="shared" ref="AG13:AT13" si="7">SUBTOTAL(9,AG8:AG12)</f>
        <v>67</v>
      </c>
      <c r="AH13" s="184">
        <f t="shared" si="7"/>
        <v>25</v>
      </c>
      <c r="AI13" s="184">
        <f t="shared" si="7"/>
        <v>34</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2075</v>
      </c>
      <c r="AZ13" s="184">
        <f>SUBTOTAL(9,AZ8:AZ12)</f>
        <v>472</v>
      </c>
      <c r="BA13" s="184">
        <f>SUBTOTAL(9,BA8:BA12)</f>
        <v>384</v>
      </c>
      <c r="BB13" s="184">
        <f>SUBTOTAL(9,BB8:BB12)</f>
        <v>2124</v>
      </c>
      <c r="BC13" s="184">
        <f>SUBTOTAL(9,BC8:BC12)</f>
        <v>121</v>
      </c>
      <c r="BD13" s="205">
        <f>IF(ISNUMBER(BA13/AZ13),BA13/AZ13," - ")</f>
        <v>0.81355932203389836</v>
      </c>
      <c r="BE13" s="206">
        <f>IF(ISNUMBER(BB13/BA13),BB13/BA13, " - ")</f>
        <v>5.53125</v>
      </c>
      <c r="BF13" s="206">
        <f>IF(ISNUMBER(BC13/BA13),BC13/BA13, " - ")</f>
        <v>0.31510416666666669</v>
      </c>
      <c r="BG13" s="207">
        <f>IF(ISNUMBER((AY13+AZ13)/BA13),(AY13+AZ13)/BA13," - ")</f>
        <v>6.6328125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1158</v>
      </c>
      <c r="J16" s="183">
        <v>360</v>
      </c>
      <c r="K16" s="183">
        <v>397</v>
      </c>
      <c r="L16" s="183">
        <v>1137</v>
      </c>
      <c r="M16" s="183">
        <v>44</v>
      </c>
      <c r="N16" s="183">
        <v>195</v>
      </c>
      <c r="O16" s="181">
        <v>3</v>
      </c>
      <c r="P16" s="183">
        <v>19</v>
      </c>
      <c r="Q16" s="183">
        <v>8</v>
      </c>
      <c r="R16" s="183">
        <v>99</v>
      </c>
      <c r="S16" s="183">
        <v>981</v>
      </c>
      <c r="T16" s="183">
        <v>392</v>
      </c>
      <c r="U16" s="183">
        <v>333</v>
      </c>
      <c r="V16" s="183">
        <v>1041</v>
      </c>
      <c r="W16" s="183">
        <v>36</v>
      </c>
      <c r="X16" s="189">
        <v>163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981</v>
      </c>
      <c r="AZ16" s="127">
        <f t="shared" si="9"/>
        <v>392</v>
      </c>
      <c r="BA16" s="127">
        <f t="shared" si="9"/>
        <v>333</v>
      </c>
      <c r="BB16" s="127">
        <f t="shared" si="9"/>
        <v>1041</v>
      </c>
      <c r="BC16" s="125">
        <f>IF(ISNUMBER(W16),W16," - ")</f>
        <v>36</v>
      </c>
      <c r="BD16" s="126">
        <f t="shared" ref="BD16" si="11">IF(ISNUMBER(BA16/AZ16),BA16/AZ16," - ")</f>
        <v>0.84948979591836737</v>
      </c>
      <c r="BE16" s="127">
        <f t="shared" ref="BE16" si="12">IF(ISNUMBER(BB16/BA16),BB16/BA16, " - ")</f>
        <v>3.1261261261261262</v>
      </c>
      <c r="BF16" s="127">
        <f t="shared" ref="BF16" si="13">IF(ISNUMBER(BC16/BA16),BC16/BA16, " - ")</f>
        <v>0.10810810810810811</v>
      </c>
      <c r="BG16" s="196">
        <f t="shared" si="10"/>
        <v>4.1231231231231229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24</v>
      </c>
      <c r="K17" s="183">
        <v>24</v>
      </c>
      <c r="L17" s="183">
        <v>33</v>
      </c>
      <c r="M17" s="183">
        <v>5</v>
      </c>
      <c r="N17" s="183">
        <v>15</v>
      </c>
      <c r="O17" s="183">
        <v>0</v>
      </c>
      <c r="P17" s="183">
        <v>0</v>
      </c>
      <c r="Q17" s="183">
        <v>0</v>
      </c>
      <c r="R17" s="183">
        <v>0</v>
      </c>
      <c r="S17" s="183">
        <v>35</v>
      </c>
      <c r="T17" s="183">
        <v>14</v>
      </c>
      <c r="U17" s="183">
        <v>11</v>
      </c>
      <c r="V17" s="183">
        <v>38</v>
      </c>
      <c r="W17" s="183">
        <v>2</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35</v>
      </c>
      <c r="AZ17" s="129">
        <f t="shared" si="14"/>
        <v>14</v>
      </c>
      <c r="BA17" s="129">
        <f t="shared" si="14"/>
        <v>11</v>
      </c>
      <c r="BB17" s="129">
        <f t="shared" si="14"/>
        <v>38</v>
      </c>
      <c r="BC17" s="125">
        <f>IF(ISNUMBER(W17),W17," - ")</f>
        <v>2</v>
      </c>
      <c r="BD17" s="126">
        <f>IF(ISNUMBER(BA17/AZ17),BA17/AZ17," - ")</f>
        <v>0.7857142857142857</v>
      </c>
      <c r="BE17" s="127">
        <f>IF(ISNUMBER(BB17/BA17),BB17/BA17, " - ")</f>
        <v>3.4545454545454546</v>
      </c>
      <c r="BF17" s="127">
        <f>IF(ISNUMBER(BC17/BA17),BC17/BA17, " - ")</f>
        <v>0.18181818181818182</v>
      </c>
      <c r="BG17" s="196">
        <f>IF(ISNUMBER((AY17+AZ17)/BA17),(AY17+AZ17)/BA17," - ")</f>
        <v>4.4545454545454541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1191</v>
      </c>
      <c r="J18" s="184">
        <f t="shared" si="15"/>
        <v>384</v>
      </c>
      <c r="K18" s="184">
        <f t="shared" si="15"/>
        <v>421</v>
      </c>
      <c r="L18" s="184">
        <f t="shared" si="15"/>
        <v>1170</v>
      </c>
      <c r="M18" s="184">
        <f t="shared" si="15"/>
        <v>49</v>
      </c>
      <c r="N18" s="184">
        <f t="shared" si="15"/>
        <v>210</v>
      </c>
      <c r="O18" s="184">
        <f t="shared" si="15"/>
        <v>3</v>
      </c>
      <c r="P18" s="184">
        <f t="shared" si="15"/>
        <v>19</v>
      </c>
      <c r="Q18" s="184">
        <f t="shared" si="15"/>
        <v>8</v>
      </c>
      <c r="R18" s="184">
        <f t="shared" si="15"/>
        <v>99</v>
      </c>
      <c r="S18" s="184">
        <f t="shared" si="15"/>
        <v>1016</v>
      </c>
      <c r="T18" s="184">
        <f t="shared" si="15"/>
        <v>406</v>
      </c>
      <c r="U18" s="184">
        <f t="shared" si="15"/>
        <v>344</v>
      </c>
      <c r="V18" s="184">
        <f t="shared" si="15"/>
        <v>1079</v>
      </c>
      <c r="W18" s="184">
        <f t="shared" si="15"/>
        <v>38</v>
      </c>
      <c r="X18" s="184">
        <f t="shared" si="15"/>
        <v>176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1016</v>
      </c>
      <c r="AZ18" s="184">
        <f>SUBTOTAL(9,AZ14:AZ17)</f>
        <v>406</v>
      </c>
      <c r="BA18" s="184">
        <f>SUBTOTAL(9,BA14:BA17)</f>
        <v>344</v>
      </c>
      <c r="BB18" s="184">
        <f>SUBTOTAL(9,BB14:BB17)</f>
        <v>1079</v>
      </c>
      <c r="BC18" s="184">
        <f>SUBTOTAL(9,BC14:BC17)</f>
        <v>38</v>
      </c>
      <c r="BD18" s="205">
        <f>IF(ISNUMBER(BA18/AZ18),BA18/AZ18," - ")</f>
        <v>0.84729064039408863</v>
      </c>
      <c r="BE18" s="206">
        <f>IF(ISNUMBER(BB18/BA18),BB18/BA18, " - ")</f>
        <v>3.1366279069767442</v>
      </c>
      <c r="BF18" s="206">
        <f>IF(ISNUMBER(BC18/BA18),BC18/BA18, " - ")</f>
        <v>0.11046511627906977</v>
      </c>
      <c r="BG18" s="207">
        <f>IF(ISNUMBER((AY18+AZ18)/BA18),(AY18+AZ18)/BA18," - ")</f>
        <v>4.1337209302325579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3808</v>
      </c>
      <c r="J19" s="134">
        <f t="shared" si="18"/>
        <v>1354</v>
      </c>
      <c r="K19" s="134">
        <f t="shared" si="18"/>
        <v>866</v>
      </c>
      <c r="L19" s="134">
        <f t="shared" si="18"/>
        <v>4310</v>
      </c>
      <c r="M19" s="134">
        <f t="shared" si="18"/>
        <v>190</v>
      </c>
      <c r="N19" s="134">
        <f t="shared" si="18"/>
        <v>231</v>
      </c>
      <c r="O19" s="134">
        <f t="shared" si="18"/>
        <v>171</v>
      </c>
      <c r="P19" s="134">
        <f t="shared" si="18"/>
        <v>119</v>
      </c>
      <c r="Q19" s="134">
        <f t="shared" si="18"/>
        <v>293</v>
      </c>
      <c r="R19" s="134">
        <f t="shared" si="18"/>
        <v>2422</v>
      </c>
      <c r="S19" s="134">
        <f t="shared" si="18"/>
        <v>3024</v>
      </c>
      <c r="T19" s="134">
        <f t="shared" si="18"/>
        <v>853</v>
      </c>
      <c r="U19" s="134">
        <f t="shared" si="18"/>
        <v>694</v>
      </c>
      <c r="V19" s="134">
        <f t="shared" si="18"/>
        <v>3153</v>
      </c>
      <c r="W19" s="134">
        <f t="shared" si="18"/>
        <v>139</v>
      </c>
      <c r="X19" s="134">
        <f t="shared" si="18"/>
        <v>297</v>
      </c>
      <c r="Y19" s="134">
        <f t="shared" si="18"/>
        <v>42</v>
      </c>
      <c r="Z19" s="134">
        <f t="shared" si="18"/>
        <v>21</v>
      </c>
      <c r="AA19" s="134">
        <f t="shared" si="18"/>
        <v>23</v>
      </c>
      <c r="AB19" s="134">
        <f t="shared" si="18"/>
        <v>40</v>
      </c>
      <c r="AC19" s="134">
        <f t="shared" si="18"/>
        <v>0</v>
      </c>
      <c r="AD19" s="134">
        <f t="shared" si="18"/>
        <v>0</v>
      </c>
      <c r="AE19" s="134">
        <f t="shared" si="18"/>
        <v>0</v>
      </c>
      <c r="AF19" s="134">
        <f t="shared" si="18"/>
        <v>0</v>
      </c>
      <c r="AG19" s="134">
        <f t="shared" si="18"/>
        <v>67</v>
      </c>
      <c r="AH19" s="134">
        <f t="shared" si="18"/>
        <v>25</v>
      </c>
      <c r="AI19" s="134">
        <f t="shared" si="18"/>
        <v>34</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3091</v>
      </c>
      <c r="AZ19" s="134">
        <f>SUBTOTAL(9,AZ9:AZ18)</f>
        <v>878</v>
      </c>
      <c r="BA19" s="134">
        <f>SUBTOTAL(9,BA9:BA18)</f>
        <v>728</v>
      </c>
      <c r="BB19" s="134">
        <f>SUBTOTAL(9,BB9:BB18)</f>
        <v>3203</v>
      </c>
      <c r="BC19" s="135">
        <f>SUBTOTAL(9,BC9:BC18)</f>
        <v>159</v>
      </c>
      <c r="BD19" s="213">
        <f>IF(ISNUMBER(BA19/AZ19),BA19/AZ19," - ")</f>
        <v>0.82915717539863321</v>
      </c>
      <c r="BE19" s="210">
        <f>IF(ISNUMBER(BB19/BA19),BB19/BA19, " - ")</f>
        <v>4.3997252747252746</v>
      </c>
      <c r="BF19" s="210">
        <f>IF(ISNUMBER(BC19/BA19),BC19/BA19, " - ")</f>
        <v>0.21840659340659341</v>
      </c>
      <c r="BG19" s="135">
        <f>IF(ISNUMBER((AY19+AZ19)/BA19),(AY19+AZ19)/BA19," - ")</f>
        <v>5.4519230769230766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Xb+XfyLyXeUtd8Ced4FJfiQtvg6dUbwOzLmiCs0JP7uCMRAKLIxsubm2r4/4yC0rCLCNEe6WMlxzB1VrKrw3g==" saltValue="PldbWvmUl2PknCumnap0e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z1ixUpg7DGlElLLzErTqj6aPaMyeNvWSfmFJ1bBvWmLnq27F8qoX13PeP8vzj9EEEU9gylxVBtR4KODk91Jug==" saltValue="Vibsn9nO0Rv3au7swhtgk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30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0.22222222222222221</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2323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140</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0.47925311203319504</v>
      </c>
      <c r="BH12" s="260">
        <f>IF(ISNUMBER(((IF(J_V="SI",Datos!L12/Datos!K12,(Datos!L12+Datos!AB12)/(Datos!K12+Datos!AA12)))*11)/factor_trimestre),((IF(J_V="SI",Datos!L12/Datos!K12,(Datos!L12+Datos!AB12)/(Datos!K12+Datos!AA12)))*11)/factor_trimestre," - ")</f>
        <v>20.454545454545457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-7.3763955342902712E-2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285</v>
      </c>
      <c r="AD13" s="899">
        <f t="shared" si="1"/>
        <v>0</v>
      </c>
      <c r="AE13" s="899">
        <f t="shared" si="1"/>
        <v>0</v>
      </c>
      <c r="AF13" s="899">
        <f t="shared" si="1"/>
        <v>30</v>
      </c>
      <c r="AG13" s="899">
        <f t="shared" si="1"/>
        <v>0</v>
      </c>
      <c r="AH13" s="899">
        <f t="shared" si="1"/>
        <v>40</v>
      </c>
      <c r="AI13" s="899">
        <f t="shared" si="1"/>
        <v>0</v>
      </c>
      <c r="AJ13" s="899">
        <f t="shared" si="1"/>
        <v>0</v>
      </c>
      <c r="AK13" s="899">
        <f t="shared" si="1"/>
        <v>0</v>
      </c>
      <c r="AL13" s="899">
        <f t="shared" si="1"/>
        <v>0</v>
      </c>
      <c r="AM13" s="899">
        <f t="shared" si="1"/>
        <v>2323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v>
      </c>
      <c r="BD13" s="899">
        <f t="shared" si="1"/>
        <v>21</v>
      </c>
      <c r="BE13" s="899">
        <f t="shared" si="1"/>
        <v>0</v>
      </c>
      <c r="BF13" s="899">
        <f t="shared" si="1"/>
        <v>0</v>
      </c>
      <c r="BG13" s="899">
        <f>IF(ISNUMBER(Datos!K13/Datos!J13),Datos!K13/Datos!J13," - ")</f>
        <v>0.45876288659793812</v>
      </c>
      <c r="BH13" s="903">
        <f>IF(ISNUMBER(((Datos!L13/Datos!K13)*11)/factor_trimestre),((Datos!L13/Datos!K13)*11)/factor_trimestre," - ")</f>
        <v>21.168539325842701</v>
      </c>
      <c r="BI13" s="899">
        <f>IF(ISNUMBER('Resol  Asuntos'!D13/NºAsuntos!G13),'Resol  Asuntos'!D13/NºAsuntos!G13," - ")</f>
        <v>0.30128205128205127</v>
      </c>
      <c r="BJ13" s="899" t="str">
        <f>IF(ISNUMBER(Datos!CI13/Datos!CJ13),Datos!CI13/Datos!CJ13," - ")</f>
        <v xml:space="preserve"> - </v>
      </c>
      <c r="BK13" s="899">
        <f>SUBTOTAL(9,BK8:BK12)</f>
        <v>0</v>
      </c>
      <c r="BL13" s="899">
        <f>IF(ISNUMBER((I13-AB13+L13)/(F13)),(I13-AB13+L13)/(F13)," - ")</f>
        <v>-0.66666666666666663</v>
      </c>
      <c r="BM13" s="904">
        <f>SUBTOTAL(9,BM9:BM12)</f>
        <v>-7.3763955342902712E-2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1174</v>
      </c>
      <c r="G16" s="598">
        <f>IF(ISNUMBER(IF(D_I="SI",Datos!I16,Datos!I16+Datos!AC16)),IF(D_I="SI",Datos!I16,Datos!I16+Datos!AC16)," - ")</f>
        <v>1158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397</v>
      </c>
      <c r="AC16" s="226">
        <f>IF(ISNUMBER(Datos!Q16),Datos!Q16," - ")</f>
        <v>8</v>
      </c>
      <c r="AD16" s="334"/>
      <c r="AE16" s="484"/>
      <c r="AF16" s="596">
        <f>IF(ISNUMBER(IF(D_I="SI",Datos!L16,Datos!L16+Datos!AF16)),IF(D_I="SI",Datos!L16,Datos!L16+Datos!AF16)," - ")</f>
        <v>1137</v>
      </c>
      <c r="AG16" s="334"/>
      <c r="AH16" s="334"/>
      <c r="AI16" s="334"/>
      <c r="AJ16" s="334"/>
      <c r="AK16" s="334"/>
      <c r="AL16" s="479"/>
      <c r="AM16" s="335">
        <f>IF(ISNUMBER(Datos!R16),Datos!R16," - ")</f>
        <v>99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1.1027777777777779</v>
      </c>
      <c r="BH16" s="260">
        <f>IF(ISNUMBER(((IF(D_I="SI",Datos!L16/Datos!K16,(Datos!L16+Datos!AF16)/(Datos!K16+Datos!AE16)))*11)/factor_trimestre),((IF(D_I="SI",Datos!L16/Datos!K16,(Datos!L16+Datos!AF16)/(Datos!K16+Datos!AE16)))*11)/factor_trimestre," - ")</f>
        <v>8.5919395465994981</v>
      </c>
      <c r="BI16" s="243">
        <f>IF(ISNUMBER('Resol  Asuntos'!D16/NºAsuntos!G16),'Resol  Asuntos'!D16/NºAsuntos!G16," - ")</f>
        <v>0.11083123425692695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4.125</v>
      </c>
      <c r="BI17" s="243">
        <f>IF(ISNUMBER('Resol  Asuntos'!D17/NºAsuntos!G17),'Resol  Asuntos'!D17/NºAsuntos!G17," - ")</f>
        <v>0.20833333333333334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1174</v>
      </c>
      <c r="G18" s="898">
        <f>SUBTOTAL(9,G15:G17)</f>
        <v>1191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421</v>
      </c>
      <c r="AC18" s="899">
        <f t="shared" si="4"/>
        <v>8</v>
      </c>
      <c r="AD18" s="899">
        <f t="shared" si="4"/>
        <v>0</v>
      </c>
      <c r="AE18" s="899">
        <f t="shared" si="4"/>
        <v>0</v>
      </c>
      <c r="AF18" s="899">
        <f t="shared" si="4"/>
        <v>1170</v>
      </c>
      <c r="AG18" s="899">
        <f t="shared" si="4"/>
        <v>0</v>
      </c>
      <c r="AH18" s="899">
        <f t="shared" si="4"/>
        <v>0</v>
      </c>
      <c r="AI18" s="899">
        <f t="shared" si="4"/>
        <v>0</v>
      </c>
      <c r="AJ18" s="899">
        <f t="shared" si="4"/>
        <v>0</v>
      </c>
      <c r="AK18" s="899">
        <f t="shared" si="4"/>
        <v>0</v>
      </c>
      <c r="AL18" s="899">
        <f t="shared" si="4"/>
        <v>0</v>
      </c>
      <c r="AM18" s="899">
        <f t="shared" si="4"/>
        <v>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210</v>
      </c>
      <c r="BE18" s="899">
        <f t="shared" si="4"/>
        <v>0</v>
      </c>
      <c r="BF18" s="899">
        <f t="shared" si="4"/>
        <v>0</v>
      </c>
      <c r="BG18" s="899">
        <f>IF(ISNUMBER(Datos!K18/Datos!J18),Datos!K18/Datos!J18," - ")</f>
        <v>1.0963541666666667</v>
      </c>
      <c r="BH18" s="903">
        <f>IF(ISNUMBER(((Datos!L18/Datos!K18)*11)/factor_trimestre),((Datos!L18/Datos!K18)*11)/factor_trimestre," - ")</f>
        <v>8.3372921615201907</v>
      </c>
      <c r="BI18" s="899">
        <f>SUBTOTAL(9,BI15:BI17)</f>
        <v>0.3191645675902603</v>
      </c>
      <c r="BJ18" s="899">
        <f>SUBTOTAL(9,BJ15:BJ17)</f>
        <v>0</v>
      </c>
      <c r="BK18" s="899">
        <f>SUBTOTAL(9,BK15:BK17)</f>
        <v>0</v>
      </c>
      <c r="BL18" s="899">
        <f>IF(ISNUMBER((I18-AB18+L18)/(F18)),(I18-AB18+L18)/(F18)," - ")</f>
        <v>-0.358603066439523</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1183</v>
      </c>
      <c r="G19" s="820">
        <f t="shared" si="6"/>
        <v>1200</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427</v>
      </c>
      <c r="AC19" s="821">
        <f t="shared" si="7"/>
        <v>293</v>
      </c>
      <c r="AD19" s="821">
        <f t="shared" si="7"/>
        <v>0</v>
      </c>
      <c r="AE19" s="821">
        <f t="shared" si="7"/>
        <v>0</v>
      </c>
      <c r="AF19" s="828">
        <f t="shared" si="7"/>
        <v>1200</v>
      </c>
      <c r="AG19" s="828">
        <f t="shared" si="7"/>
        <v>0</v>
      </c>
      <c r="AH19" s="828">
        <f t="shared" si="7"/>
        <v>40</v>
      </c>
      <c r="AI19" s="828">
        <f t="shared" si="7"/>
        <v>0</v>
      </c>
      <c r="AJ19" s="821">
        <f t="shared" si="7"/>
        <v>0</v>
      </c>
      <c r="AK19" s="828">
        <f t="shared" si="7"/>
        <v>0</v>
      </c>
      <c r="AL19" s="828">
        <f t="shared" si="7"/>
        <v>0</v>
      </c>
      <c r="AM19" s="828">
        <f t="shared" si="7"/>
        <v>2422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190</v>
      </c>
      <c r="BD19" s="820">
        <f t="shared" si="7"/>
        <v>231</v>
      </c>
      <c r="BE19" s="820">
        <f t="shared" si="7"/>
        <v>0</v>
      </c>
      <c r="BF19" s="830">
        <f t="shared" si="7"/>
        <v>0</v>
      </c>
      <c r="BG19" s="915">
        <f>IF(ISNUMBER(Datos!K19/Datos!J19),Datos!K19/Datos!J19," - ")</f>
        <v>0.63958641063515509</v>
      </c>
      <c r="BH19" s="915">
        <f>IF(ISNUMBER(((Datos!L19/Datos!K19)*11)/factor_trimestre),((Datos!L19/Datos!K19)*11)/factor_trimestre," - ")</f>
        <v>14.930715935334874</v>
      </c>
      <c r="BI19" s="813">
        <f>IF(ISNUMBER(Datos!J19/Datos!I19),Datos!J19/Datos!I19," - ")</f>
        <v>0.35556722689075632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-0.36094674556213019</v>
      </c>
      <c r="BM19" s="889">
        <f>IF(ISNUMBER((Datos!P19-Datos!Q19+R19)/(Datos!R19-Datos!P19+Datos!Q19-R19)),(Datos!P19-Datos!Q19+R19)/(Datos!R19-Datos!P19+Datos!Q19-R19)," - ")</f>
        <v>-6.7026194144838208E-2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672.61306360591402</v>
      </c>
      <c r="G21" s="552">
        <f>IF(ISNUMBER(STDEV(G8:G18)),STDEV(G8:G18),"-")</f>
        <v>634.17190098584467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217.73538986577262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62.892500877820609</v>
      </c>
      <c r="BD21" s="551"/>
      <c r="BE21" s="551">
        <f>IF(ISNUMBER(STDEV(BE8:BE18)),STDEV(BE8:BE18),"-")</f>
        <v>0</v>
      </c>
      <c r="BF21" s="556">
        <f>IF(ISNUMBER(STDEV(BF8:BF18)),STDEV(BF8:BF18),"-")</f>
        <v>0</v>
      </c>
      <c r="BG21" s="775">
        <f>IF(ISNUMBER(STDEV(BG8:BG18)),STDEV(BG8:BG18),"-")</f>
        <v>0.38478294153344478</v>
      </c>
      <c r="BH21" s="776">
        <f>IF(ISNUMBER(STDEV(BH8:BH18)),STDEV(BH8:BH18),"-")</f>
        <v>7.0173413041048471</v>
      </c>
      <c r="BI21" s="249">
        <f>IF(ISNUMBER(STDEV(BI8:BI18)),STDEV(BI8:BI18),"-")</f>
        <v>9.5926952179057473E-2</v>
      </c>
      <c r="BJ21" s="230" t="str">
        <f>IF(ISNUMBER(BL21/BM21),BL21/BM21," - ")</f>
        <v xml:space="preserve"> - </v>
      </c>
      <c r="BK21" s="575"/>
      <c r="BL21" s="559">
        <f>IF(ISNUMBER(STDEV(BL8:BL18)),STDEV(BL8:BL18),"-")</f>
        <v>0.21783386075735459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JcHw/SeCJgIMlMQ6QnoiOefC43Q6iNHqfkNcrmp0R2loXZOJ/13eaS2XgVhZaUfQFMjh9jS94ZtuMn3xF2hjw==" saltValue="WY4suYvNbqX228/kcJ0l4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ALMANSA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30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285</v>
      </c>
      <c r="AA12" s="332" t="str">
        <f>IF(ISNUMBER(IF(J_V="SI",Datos!L12,Datos!L12+Datos!AB12)-IF(Monitorios="SI",Datos!CD12,0)),
                          IF(J_V="SI",Datos!L12,Datos!L12+Datos!AB12)-IF(Monitorios="SI",Datos!CD12,0),
                          " - ")</f>
        <v xml:space="preserve"> - </v>
      </c>
      <c r="AB12" s="334"/>
      <c r="AC12" s="334"/>
      <c r="AD12" s="484"/>
      <c r="AE12" s="484">
        <f>IF(ISNUMBER(Datos!R12),Datos!R12," - ")</f>
        <v>2323</v>
      </c>
      <c r="AF12" s="229" t="str">
        <f>IF(ISNUMBER(Datos!BV12),Datos!BV12," - ")</f>
        <v xml:space="preserve"> - </v>
      </c>
      <c r="AG12" s="225" t="str">
        <f>IF(ISNUMBER(Datos!DV12),Datos!DV12," - ")</f>
        <v xml:space="preserve"> - </v>
      </c>
      <c r="AH12" s="298"/>
      <c r="AI12" s="227"/>
      <c r="AJ12" s="225">
        <f>IF(ISNUMBER(Datos!M12),Datos!M12," - ")</f>
        <v>140</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20.454545454545457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-7.3763955342902712E-2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285</v>
      </c>
      <c r="AA13" s="900">
        <f t="shared" si="2"/>
        <v>30</v>
      </c>
      <c r="AB13" s="900">
        <f t="shared" si="2"/>
        <v>0</v>
      </c>
      <c r="AC13" s="900">
        <f t="shared" si="2"/>
        <v>0</v>
      </c>
      <c r="AD13" s="900">
        <f t="shared" si="2"/>
        <v>0</v>
      </c>
      <c r="AE13" s="900">
        <f t="shared" si="2"/>
        <v>2323</v>
      </c>
      <c r="AF13" s="908">
        <f t="shared" si="2"/>
        <v>0</v>
      </c>
      <c r="AG13" s="908">
        <f t="shared" si="2"/>
        <v>0</v>
      </c>
      <c r="AH13" s="908">
        <f t="shared" si="2"/>
        <v>0</v>
      </c>
      <c r="AI13" s="908">
        <f t="shared" si="2"/>
        <v>0</v>
      </c>
      <c r="AJ13" s="908">
        <f t="shared" si="2"/>
        <v>141</v>
      </c>
      <c r="AK13" s="908">
        <f t="shared" si="2"/>
        <v>21</v>
      </c>
      <c r="AL13" s="908">
        <f t="shared" si="2"/>
        <v>0</v>
      </c>
      <c r="AM13" s="908">
        <f t="shared" si="2"/>
        <v>0</v>
      </c>
      <c r="AN13" s="908">
        <f t="shared" si="2"/>
        <v>0</v>
      </c>
      <c r="AO13" s="904">
        <f>IF(ISNUMBER(((NºAsuntos!I13/NºAsuntos!G13)*11)/factor_trimestre),((NºAsuntos!I13/NºAsuntos!G13)*11)/factor_trimestre," - ")</f>
        <v>20.384615384615383</v>
      </c>
      <c r="AP13" s="910" t="str">
        <f>IF(ISNUMBER(Datos!CI13/Datos!CJ13),Datos!CI13/Datos!CJ13," - ")</f>
        <v xml:space="preserve"> - </v>
      </c>
      <c r="AQ13" s="928">
        <f t="shared" ref="AQ13:AV13" si="3">SUBTOTAL(9,AQ9:AQ12)</f>
        <v>0</v>
      </c>
      <c r="AR13" s="928">
        <f t="shared" si="3"/>
        <v>-7.3763955342902712E-2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1174</v>
      </c>
      <c r="G16" s="225">
        <f>IF(ISNUMBER(IF(D_I="SI",Datos!I16,Datos!I16+Datos!AC16)),IF(D_I="SI",Datos!I16,Datos!I16+Datos!AC16)," - ")</f>
        <v>1158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397</v>
      </c>
      <c r="Z16" s="619">
        <f>IF(ISNUMBER(Datos!Q16),Datos!Q16," - ")</f>
        <v>8</v>
      </c>
      <c r="AA16" s="332">
        <f>IF(ISNUMBER(IF(D_I="SI",Datos!L16,Datos!L16+Datos!AF16)),IF(D_I="SI",Datos!L16,Datos!L16+Datos!AF16)," - ")</f>
        <v>1137</v>
      </c>
      <c r="AB16" s="334"/>
      <c r="AC16" s="334"/>
      <c r="AD16" s="484"/>
      <c r="AE16" s="484">
        <f>IF(ISNUMBER(Datos!R16),Datos!R16," - ")</f>
        <v>99</v>
      </c>
      <c r="AF16" s="229" t="str">
        <f>IF(ISNUMBER(Datos!BV16),Datos!BV16," - ")</f>
        <v xml:space="preserve"> - </v>
      </c>
      <c r="AG16" s="225"/>
      <c r="AH16" s="298"/>
      <c r="AI16" s="227"/>
      <c r="AJ16" s="225">
        <f>IF(ISNUMBER(Datos!M16),Datos!M16," - ")</f>
        <v>44</v>
      </c>
      <c r="AK16" s="229">
        <f>IF(ISNUMBER(Datos!N16),Datos!N16," - ")</f>
        <v>195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8.5919395465994981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1174</v>
      </c>
      <c r="G18" s="898">
        <f>SUBTOTAL(9,G15:G17)</f>
        <v>1191</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421</v>
      </c>
      <c r="Z18" s="932">
        <f t="shared" si="5"/>
        <v>8</v>
      </c>
      <c r="AA18" s="932">
        <f t="shared" si="5"/>
        <v>1170</v>
      </c>
      <c r="AB18" s="932">
        <f t="shared" si="5"/>
        <v>0</v>
      </c>
      <c r="AC18" s="932">
        <f t="shared" si="5"/>
        <v>0</v>
      </c>
      <c r="AD18" s="932">
        <f t="shared" si="5"/>
        <v>0</v>
      </c>
      <c r="AE18" s="932">
        <f t="shared" si="5"/>
        <v>99</v>
      </c>
      <c r="AF18" s="932">
        <f t="shared" si="5"/>
        <v>0</v>
      </c>
      <c r="AG18" s="932">
        <f t="shared" si="5"/>
        <v>0</v>
      </c>
      <c r="AH18" s="932">
        <f t="shared" si="5"/>
        <v>0</v>
      </c>
      <c r="AI18" s="932">
        <f t="shared" si="5"/>
        <v>0</v>
      </c>
      <c r="AJ18" s="932">
        <f t="shared" si="5"/>
        <v>49</v>
      </c>
      <c r="AK18" s="932">
        <f t="shared" si="5"/>
        <v>210</v>
      </c>
      <c r="AL18" s="932">
        <f t="shared" si="5"/>
        <v>0</v>
      </c>
      <c r="AM18" s="932">
        <f t="shared" si="5"/>
        <v>0</v>
      </c>
      <c r="AN18" s="932">
        <f t="shared" si="5"/>
        <v>0</v>
      </c>
      <c r="AO18" s="934">
        <f>IF(ISNUMBER(((NºAsuntos!I18/NºAsuntos!G18)*11)/factor_trimestre),((NºAsuntos!I18/NºAsuntos!G18)*11)/factor_trimestre," - ")</f>
        <v>8.3372921615201907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1183</v>
      </c>
      <c r="G19" s="820">
        <f t="shared" si="7"/>
        <v>1200</v>
      </c>
      <c r="H19" s="821">
        <f t="shared" si="7"/>
        <v>0</v>
      </c>
      <c r="I19" s="820">
        <f t="shared" si="7"/>
        <v>0</v>
      </c>
      <c r="J19" s="822">
        <f t="shared" si="7"/>
        <v>0</v>
      </c>
      <c r="K19" s="820">
        <f t="shared" si="7"/>
        <v>0</v>
      </c>
      <c r="L19" s="823">
        <f t="shared" si="7"/>
        <v>0</v>
      </c>
      <c r="M19" s="820">
        <f t="shared" si="7"/>
        <v>0</v>
      </c>
      <c r="N19" s="821">
        <f t="shared" si="7"/>
        <v>119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427</v>
      </c>
      <c r="Z19" s="827">
        <f t="shared" si="8"/>
        <v>293</v>
      </c>
      <c r="AA19" s="828">
        <f t="shared" si="8"/>
        <v>1200</v>
      </c>
      <c r="AB19" s="828">
        <f t="shared" si="8"/>
        <v>0</v>
      </c>
      <c r="AC19" s="828">
        <f t="shared" si="8"/>
        <v>0</v>
      </c>
      <c r="AD19" s="829">
        <f t="shared" si="8"/>
        <v>0</v>
      </c>
      <c r="AE19" s="829">
        <f t="shared" si="8"/>
        <v>2422</v>
      </c>
      <c r="AF19" s="830">
        <f t="shared" si="8"/>
        <v>0</v>
      </c>
      <c r="AG19" s="831">
        <f t="shared" si="8"/>
        <v>0</v>
      </c>
      <c r="AH19" s="832">
        <f t="shared" si="8"/>
        <v>0</v>
      </c>
      <c r="AI19" s="830">
        <f t="shared" si="8"/>
        <v>0</v>
      </c>
      <c r="AJ19" s="820">
        <f t="shared" si="8"/>
        <v>190</v>
      </c>
      <c r="AK19" s="820">
        <f t="shared" si="8"/>
        <v>231</v>
      </c>
      <c r="AL19" s="820">
        <f t="shared" si="8"/>
        <v>0</v>
      </c>
      <c r="AM19" s="833">
        <f t="shared" si="8"/>
        <v>0</v>
      </c>
      <c r="AN19" s="823">
        <f>IF(ISNUMBER(Datos!K19/Datos!J19),Datos!K19/Datos!J19," - ")</f>
        <v>0.63958641063515509</v>
      </c>
      <c r="AO19" s="823">
        <f>IF(ISNUMBER(FIND("06",Criterios!A8,1)),(IF(ISNUMBER(((Datos!R19/Datos!Q19)*11)/factor_trimestre),((Datos!R19/Datos!Q19)*11)/factor_trimestre," - ")),(IF(ISNUMBER(((Datos!L19/Datos!K19)*11)/factor_trimestre),((Datos!L19/Datos!K19)*11)/factor_trimestre," - ")))</f>
        <v>14.930715935334874</v>
      </c>
      <c r="AP19" s="834" t="str">
        <f>IF(ISNUMBER(Datos!CI19/Datos!CJ19),Datos!CI19/Datos!CJ19," - ")</f>
        <v xml:space="preserve"> - </v>
      </c>
      <c r="AQ19" s="834">
        <f>IF(OR(ISNUMBER(FIND("01",Criterios!A8,1)),ISNUMBER(FIND("02",Criterios!A8,1)),ISNUMBER(FIND("03",Criterios!A8,1)),ISNUMBER(FIND("04",Criterios!A8,1))),(J19-Y19+K19)/(F19-K19),(I19-Y19+K19)/(F19-K19))</f>
        <v>-0.36094674556213019</v>
      </c>
      <c r="AR19" s="834">
        <f>IF(ISNUMBER((Datos!P19-Datos!Q19+O19)/(Datos!R19-Datos!P19+Datos!Q19-O19)),(Datos!P19-Datos!Q19+O19)/(Datos!R19-Datos!P19+Datos!Q19-O19)," - ")</f>
        <v>-6.7026194144838208E-2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672.61306360591402</v>
      </c>
      <c r="G21" s="552">
        <f>IF(ISNUMBER(STDEV(G8:G18)),STDEV(G8:G18),"-")</f>
        <v>634.17190098584467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62.892500877820609</v>
      </c>
      <c r="AK21" s="252"/>
      <c r="AL21" s="252">
        <f>IF(ISNUMBER(STDEV(AL8:AL18)),STDEV(AL8:AL18),"-")</f>
        <v>0</v>
      </c>
      <c r="AM21" s="254">
        <f>IF(ISNUMBER(STDEV(AM8:AM18)),STDEV(AM8:AM18),"-")</f>
        <v>0</v>
      </c>
      <c r="AN21" s="539">
        <f>IF(ISNUMBER(STDEV(AN8:AN18)),STDEV(AN8:AN18),"-")</f>
        <v>0</v>
      </c>
      <c r="AO21" s="540">
        <f>IF(ISNUMBER(STDEV(AO8:AO18)),STDEV(AO8:AO18),"-")</f>
        <v>6.8386572071526022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lo7Pn/yOxqpR8bcDDJy0rWfvQvgKEDc3wqV83OmbjoLMcPDiU/F3zccWgrZcrkMcEfgjcK/HrsGWSDHDlNVVDw==" saltValue="NW+l7wrGQG3o5EZi56u9E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SIB+6JR4OCZQWkpFbhJzxu3N3r/4bHb5MdpMXXcwoFXbNvWgNr4MXRxYihV2+z3xNwqBTsODSJZ8qihkyge6A==" saltValue="sh207HcGtUUR3Ek9ksBV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5pyT0jnPrvbqsjGBjoZBIK/b7nDPeXDsIRR2n4XrOqKov+GEhDts8c84CpmirYfCrR4Dt0uvQhw+rXssqpsDQ==" saltValue="O7f96t8q8XJKoPItS4DNl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ALMANSA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0.30128205128205127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0.21303858151133162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tdZ66euFZOUbOzCXM91v6R1i+ykmtngPYzcHSF0aDzwXaZ9Mfulap63jCSYmgWrmg0XqlM/IJ3q98zddzy+6Q==" saltValue="iQ8JsuueBwC5vMWc0h4hD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fQ5HKctst08sIlvVvio9qjkwiY9d3ydCnHi6u6Il0a/AkU7D4N/f6C8nrOEOkLJb0VODA8kcIcZBkZreHpyaIw==" saltValue="T/Q6q+iSIw/qDMVFAb6V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ALMANSA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140</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20.454545454545457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-7.3763955342902712E-2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285</v>
      </c>
      <c r="AE13" s="939">
        <f t="shared" si="1"/>
        <v>0</v>
      </c>
      <c r="AF13" s="939">
        <f t="shared" si="1"/>
        <v>30</v>
      </c>
      <c r="AG13" s="939">
        <f t="shared" si="1"/>
        <v>0</v>
      </c>
      <c r="AH13" s="939">
        <f t="shared" si="1"/>
        <v>2323</v>
      </c>
      <c r="AI13" s="939">
        <f t="shared" si="1"/>
        <v>0</v>
      </c>
      <c r="AJ13" s="939">
        <f t="shared" si="1"/>
        <v>0</v>
      </c>
      <c r="AK13" s="939">
        <f t="shared" si="1"/>
        <v>0</v>
      </c>
      <c r="AL13" s="939">
        <f t="shared" si="1"/>
        <v>141</v>
      </c>
      <c r="AM13" s="939">
        <f t="shared" si="1"/>
        <v>21</v>
      </c>
      <c r="AN13" s="939">
        <f t="shared" si="1"/>
        <v>0</v>
      </c>
      <c r="AO13" s="939">
        <f t="shared" si="1"/>
        <v>0</v>
      </c>
      <c r="AP13" s="944">
        <f>IF(ISNUMBER(((Datos!L13/Datos!K13)*11)/factor_trimestre),((Datos!L13/Datos!K13)*11)/factor_trimestre," - ")</f>
        <v>21.168539325842701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-7.3763955342902712E-2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8.3372921615201907</v>
      </c>
      <c r="AQ18" s="944">
        <f>IF(ISNUMBER(((Datos!M18/Datos!L18)*11)/factor_trimestre),((Datos!M18/Datos!L18)*11)/factor_trimestre," - ")</f>
        <v>0.12564102564102564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-8.2204155374887081E-2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285</v>
      </c>
      <c r="AE19" s="957">
        <f t="shared" si="5"/>
        <v>0</v>
      </c>
      <c r="AF19" s="958">
        <f t="shared" si="5"/>
        <v>30</v>
      </c>
      <c r="AG19" s="958">
        <f t="shared" si="5"/>
        <v>0</v>
      </c>
      <c r="AH19" s="958">
        <f t="shared" si="5"/>
        <v>2323</v>
      </c>
      <c r="AI19" s="958">
        <f t="shared" si="5"/>
        <v>0</v>
      </c>
      <c r="AJ19" s="959">
        <f t="shared" si="5"/>
        <v>0</v>
      </c>
      <c r="AK19" s="959">
        <f t="shared" si="5"/>
        <v>0</v>
      </c>
      <c r="AL19" s="951">
        <f t="shared" si="5"/>
        <v>141</v>
      </c>
      <c r="AM19" s="951">
        <f t="shared" si="5"/>
        <v>21</v>
      </c>
      <c r="AN19" s="951">
        <f t="shared" si="5"/>
        <v>0</v>
      </c>
      <c r="AO19" s="951">
        <f t="shared" si="5"/>
        <v>0</v>
      </c>
      <c r="AP19" s="951">
        <f>IF(ISNUMBER(((Datos!L19/Datos!K19)*11)/factor_trimestre),((Datos!L19/Datos!K19)*11)/factor_trimestre," - ")</f>
        <v>14.930715935334874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-6.7026194144838208E-2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80.831099625494815</v>
      </c>
      <c r="AM21" s="736"/>
      <c r="AN21" s="736">
        <f>IF(ISNUMBER(STDEV(AN8:AN18)),STDEV(AN8:AN18),"-")</f>
        <v>0</v>
      </c>
      <c r="AO21" s="742">
        <f>IF(ISNUMBER(STDEV(AO8:AO18)),STDEV(AO8:AO18),"-")</f>
        <v>0</v>
      </c>
      <c r="AP21" s="779">
        <f>IF(ISNUMBER(STDEV(AP8:AP18)),STDEV(AP8:AP18),"-")</f>
        <v>5.9453983443684368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rVZDHhj0y4p5hR1MK0w0zKMKEzmZwxwBeedl+2I5EWcP8+BCtLw6ih65O7roi/NvwxOZzlXgD6gEaA29LBRg==" saltValue="xeGVrQ26tDrDHXqoyf16I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